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7EEB4C27-77F1-4C37-AEAC-0982BE2EA449}" xr6:coauthVersionLast="47" xr6:coauthVersionMax="47" xr10:uidLastSave="{00000000-0000-0000-0000-000000000000}"/>
  <bookViews>
    <workbookView xWindow="-110" yWindow="-110" windowWidth="38620" windowHeight="15760" tabRatio="835" activeTab="2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state="hidden" r:id="rId18"/>
    <sheet name="loadingspeed_lookup" sheetId="11" state="hidden" r:id="rId19"/>
    <sheet name="copyright_text" sheetId="6" r:id="rId20"/>
  </sheets>
  <definedNames>
    <definedName name="_xlnm._FilterDatabase" localSheetId="5" hidden="1">roster!$A$1:$O$1016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45" i="17" l="1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E1044" i="17"/>
  <c r="E1045" i="17"/>
  <c r="G1044" i="17"/>
  <c r="G1045" i="17"/>
  <c r="H1044" i="17" a="1"/>
  <c r="H1045" i="17" a="1"/>
  <c r="M1044" i="17" a="1"/>
  <c r="M1045" i="17" a="1"/>
  <c r="N1044" i="17"/>
  <c r="N1045" i="17"/>
  <c r="P1044" i="17"/>
  <c r="P1045" i="17"/>
  <c r="U1044" i="17"/>
  <c r="U1045" i="17"/>
  <c r="W1045" i="17" s="1"/>
  <c r="W1044" i="17"/>
  <c r="X1044" i="17" a="1"/>
  <c r="O1044" i="17" s="1" a="1"/>
  <c r="X1045" i="17" a="1"/>
  <c r="O1045" i="17" s="1" a="1"/>
  <c r="B1045" i="14"/>
  <c r="D1045" i="14" a="1"/>
  <c r="I1045" i="14"/>
  <c r="H1045" i="14" s="1"/>
  <c r="J1045" i="14"/>
  <c r="K1045" i="14"/>
  <c r="L1045" i="14"/>
  <c r="N1045" i="14"/>
  <c r="O1045" i="14"/>
  <c r="P1045" i="14"/>
  <c r="Q1045" i="14"/>
  <c r="R1045" i="14"/>
  <c r="B1044" i="14"/>
  <c r="D1044" i="14" a="1"/>
  <c r="I1044" i="14"/>
  <c r="H1044" i="14" s="1"/>
  <c r="J1044" i="14"/>
  <c r="K1044" i="14"/>
  <c r="L1044" i="14"/>
  <c r="N1044" i="14"/>
  <c r="O1044" i="14"/>
  <c r="P1044" i="14"/>
  <c r="Q1044" i="14"/>
  <c r="R1044" i="14"/>
  <c r="B1043" i="1"/>
  <c r="AD1043" i="1"/>
  <c r="AE1043" i="1" a="1"/>
  <c r="AH1043" i="1" s="1"/>
  <c r="AF1043" i="1" a="1"/>
  <c r="AG1043" i="1" a="1"/>
  <c r="U1043" i="17"/>
  <c r="D1043" i="17" a="1"/>
  <c r="E1043" i="17"/>
  <c r="G1043" i="17"/>
  <c r="H1043" i="17" a="1"/>
  <c r="M1043" i="17" a="1"/>
  <c r="N1043" i="17"/>
  <c r="P1043" i="17"/>
  <c r="W1043" i="17"/>
  <c r="X1043" i="17" a="1"/>
  <c r="O1043" i="17" s="1" a="1"/>
  <c r="B1043" i="14"/>
  <c r="D1043" i="14" a="1"/>
  <c r="I1043" i="14"/>
  <c r="J1043" i="14"/>
  <c r="K1043" i="14"/>
  <c r="L1043" i="14"/>
  <c r="N1043" i="14"/>
  <c r="O1043" i="14"/>
  <c r="P1043" i="14"/>
  <c r="Q1043" i="14"/>
  <c r="R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U1042" i="17"/>
  <c r="W1042" i="17"/>
  <c r="X1042" i="17" a="1"/>
  <c r="O1042" i="17" s="1" a="1"/>
  <c r="B1042" i="14"/>
  <c r="D1042" i="14" a="1"/>
  <c r="I1042" i="14"/>
  <c r="J1042" i="14"/>
  <c r="K1042" i="14"/>
  <c r="L1042" i="14"/>
  <c r="N1042" i="14"/>
  <c r="O1042" i="14"/>
  <c r="P1042" i="14"/>
  <c r="Q1042" i="14"/>
  <c r="R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U1041" i="17"/>
  <c r="W1041" i="17"/>
  <c r="X1041" i="17" a="1"/>
  <c r="O1041" i="17" s="1" a="1"/>
  <c r="B1041" i="14"/>
  <c r="D1041" i="14" a="1"/>
  <c r="I1041" i="14"/>
  <c r="J1041" i="14"/>
  <c r="K1041" i="14"/>
  <c r="L1041" i="14"/>
  <c r="N1041" i="14"/>
  <c r="O1041" i="14"/>
  <c r="P1041" i="14"/>
  <c r="Q1041" i="14"/>
  <c r="R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U1039" i="17"/>
  <c r="U1040" i="17"/>
  <c r="W1040" i="17" s="1"/>
  <c r="W1039" i="17"/>
  <c r="X1039" i="17" a="1"/>
  <c r="O1039" i="17" s="1" a="1"/>
  <c r="X1040" i="17" a="1"/>
  <c r="O1040" i="17" s="1" a="1"/>
  <c r="B1040" i="14"/>
  <c r="D1040" i="14" a="1"/>
  <c r="I1040" i="14"/>
  <c r="G1040" i="19" s="1"/>
  <c r="J1040" i="14"/>
  <c r="K1040" i="14"/>
  <c r="L1040" i="14"/>
  <c r="N1040" i="14"/>
  <c r="O1040" i="14"/>
  <c r="P1040" i="14"/>
  <c r="Q1040" i="14"/>
  <c r="R1040" i="14"/>
  <c r="B1039" i="14"/>
  <c r="D1039" i="14" a="1"/>
  <c r="I1039" i="14"/>
  <c r="G1039" i="19" s="1"/>
  <c r="J1039" i="14"/>
  <c r="K1039" i="14"/>
  <c r="L1039" i="14"/>
  <c r="N1039" i="14"/>
  <c r="O1039" i="14"/>
  <c r="P1039" i="14"/>
  <c r="Q1039" i="14"/>
  <c r="R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X1038" i="17" a="1"/>
  <c r="O1038" i="17" s="1" a="1"/>
  <c r="U1038" i="17"/>
  <c r="W1038" i="17" s="1"/>
  <c r="P1038" i="17"/>
  <c r="M1038" i="17" a="1"/>
  <c r="N1038" i="17" s="1"/>
  <c r="H1038" i="17" a="1"/>
  <c r="G1038" i="19" s="1"/>
  <c r="G1038" i="17"/>
  <c r="E1038" i="17"/>
  <c r="D1038" i="17" a="1"/>
  <c r="X1037" i="17" a="1"/>
  <c r="O1037" i="17" s="1" a="1"/>
  <c r="U1037" i="17"/>
  <c r="W1037" i="17" s="1"/>
  <c r="P1037" i="17"/>
  <c r="M1037" i="17" a="1"/>
  <c r="N1037" i="17" s="1"/>
  <c r="H1037" i="17" a="1"/>
  <c r="G1037" i="19" s="1"/>
  <c r="G1037" i="17"/>
  <c r="E1037" i="17"/>
  <c r="D1037" i="17" a="1"/>
  <c r="T1036" i="17"/>
  <c r="R1036" i="17"/>
  <c r="Q1036" i="17"/>
  <c r="X1036" i="17" a="1"/>
  <c r="O1036" i="17" s="1" a="1"/>
  <c r="U1036" i="17"/>
  <c r="W1036" i="17" s="1"/>
  <c r="P1036" i="17"/>
  <c r="M1036" i="17" a="1"/>
  <c r="N1036" i="17" s="1"/>
  <c r="H1036" i="17" a="1"/>
  <c r="G1036" i="19" s="1"/>
  <c r="G1036" i="17"/>
  <c r="E1036" i="17"/>
  <c r="D1036" i="17" a="1"/>
  <c r="D2" i="17" a="1"/>
  <c r="D2" i="14" s="1" a="1"/>
  <c r="AG2" i="17" s="1"/>
  <c r="D3" i="17" a="1"/>
  <c r="D3" i="14" s="1" a="1"/>
  <c r="AG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D1017" i="17" a="1"/>
  <c r="D1018" i="17" a="1"/>
  <c r="D1019" i="17" a="1"/>
  <c r="D1020" i="17" a="1"/>
  <c r="D1021" i="17" a="1"/>
  <c r="D1022" i="17" a="1"/>
  <c r="D1023" i="17" a="1"/>
  <c r="D1024" i="17" a="1"/>
  <c r="C1024" i="19" s="1"/>
  <c r="D1025" i="17" a="1"/>
  <c r="D1026" i="17" a="1"/>
  <c r="D1027" i="17" a="1"/>
  <c r="D1028" i="17" a="1"/>
  <c r="D1029" i="17" a="1"/>
  <c r="D1029" i="14" s="1" a="1"/>
  <c r="D1030" i="17" a="1"/>
  <c r="D1030" i="14" s="1" a="1"/>
  <c r="D1031" i="17" a="1"/>
  <c r="D1031" i="14" s="1" a="1"/>
  <c r="D1032" i="17" a="1"/>
  <c r="D1032" i="14" s="1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34" i="17"/>
  <c r="W135" i="17"/>
  <c r="W136" i="17"/>
  <c r="W137" i="17"/>
  <c r="W138" i="17"/>
  <c r="W139" i="17"/>
  <c r="W140" i="17"/>
  <c r="W141" i="17"/>
  <c r="W142" i="17"/>
  <c r="W143" i="17"/>
  <c r="W144" i="17"/>
  <c r="W145" i="17"/>
  <c r="W146" i="17"/>
  <c r="W147" i="17"/>
  <c r="W148" i="17"/>
  <c r="W1019" i="17"/>
  <c r="B1037" i="14"/>
  <c r="B1038" i="14"/>
  <c r="I1037" i="14"/>
  <c r="H1037" i="14" s="1"/>
  <c r="I1038" i="14"/>
  <c r="H1038" i="14" s="1"/>
  <c r="J1037" i="14"/>
  <c r="J1038" i="14"/>
  <c r="K1037" i="14"/>
  <c r="K1038" i="14"/>
  <c r="L1037" i="14"/>
  <c r="L1038" i="14"/>
  <c r="N1037" i="14"/>
  <c r="N1038" i="14"/>
  <c r="O1037" i="14"/>
  <c r="O1038" i="14"/>
  <c r="P1037" i="14"/>
  <c r="P1038" i="14"/>
  <c r="Q1037" i="14"/>
  <c r="Q1038" i="14"/>
  <c r="R1037" i="14"/>
  <c r="R1038" i="14"/>
  <c r="B1036" i="14"/>
  <c r="I1036" i="14"/>
  <c r="H1036" i="14" s="1"/>
  <c r="J1036" i="14"/>
  <c r="K1036" i="14"/>
  <c r="L1036" i="14"/>
  <c r="N1036" i="14"/>
  <c r="O1036" i="14"/>
  <c r="P1036" i="14"/>
  <c r="Q1036" i="14"/>
  <c r="R1036" i="14"/>
  <c r="B1035" i="1"/>
  <c r="AD1035" i="1"/>
  <c r="AE1035" i="1" a="1"/>
  <c r="AH1035" i="1" s="1"/>
  <c r="AF1035" i="1" a="1"/>
  <c r="AG1035" i="1" a="1"/>
  <c r="B1035" i="14"/>
  <c r="I1035" i="14"/>
  <c r="H1035" i="14" s="1"/>
  <c r="J1035" i="14"/>
  <c r="K1035" i="14"/>
  <c r="L1035" i="14"/>
  <c r="N1035" i="14"/>
  <c r="O1035" i="14"/>
  <c r="P1035" i="14"/>
  <c r="Q1035" i="14"/>
  <c r="R1035" i="14"/>
  <c r="D1035" i="14" a="1"/>
  <c r="E1035" i="17"/>
  <c r="H1035" i="17" a="1"/>
  <c r="P1035" i="17"/>
  <c r="U1035" i="17"/>
  <c r="W1035" i="17" s="1"/>
  <c r="X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X1034" i="17" a="1"/>
  <c r="O1034" i="17" s="1" a="1"/>
  <c r="U1034" i="17"/>
  <c r="W1034" i="17" s="1"/>
  <c r="P1034" i="17"/>
  <c r="X1033" i="17" a="1"/>
  <c r="O1033" i="17" s="1" a="1"/>
  <c r="U1033" i="17"/>
  <c r="W1033" i="17" s="1"/>
  <c r="P1033" i="17"/>
  <c r="E1033" i="17"/>
  <c r="E1034" i="17"/>
  <c r="H1033" i="17" a="1"/>
  <c r="H1034" i="17" a="1"/>
  <c r="B1034" i="14"/>
  <c r="D1034" i="14" a="1"/>
  <c r="I1034" i="14"/>
  <c r="H1034" i="14" s="1"/>
  <c r="J1034" i="14"/>
  <c r="K1034" i="14"/>
  <c r="L1034" i="14"/>
  <c r="N1034" i="14"/>
  <c r="O1034" i="14"/>
  <c r="P1034" i="14"/>
  <c r="Q1034" i="14"/>
  <c r="R1034" i="14"/>
  <c r="B1033" i="14"/>
  <c r="D1033" i="14" a="1"/>
  <c r="I1033" i="14"/>
  <c r="H1033" i="14" s="1"/>
  <c r="J1033" i="14"/>
  <c r="K1033" i="14"/>
  <c r="L1033" i="14"/>
  <c r="N1033" i="14"/>
  <c r="O1033" i="14"/>
  <c r="P1033" i="14"/>
  <c r="Q1033" i="14"/>
  <c r="R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X1032" i="17" a="1"/>
  <c r="O1032" i="17" s="1" a="1"/>
  <c r="U1032" i="17"/>
  <c r="W1032" i="17" s="1"/>
  <c r="P1032" i="17"/>
  <c r="H1032" i="17" a="1"/>
  <c r="E1032" i="17"/>
  <c r="X1031" i="17" a="1"/>
  <c r="O1031" i="17" s="1" a="1"/>
  <c r="U1031" i="17"/>
  <c r="W1031" i="17" s="1"/>
  <c r="P1031" i="17"/>
  <c r="H1031" i="17" a="1"/>
  <c r="E1031" i="17"/>
  <c r="R1032" i="14"/>
  <c r="Q1032" i="14"/>
  <c r="P1032" i="14"/>
  <c r="O1032" i="14"/>
  <c r="N1032" i="14"/>
  <c r="L1032" i="14"/>
  <c r="K1032" i="14"/>
  <c r="J1032" i="14"/>
  <c r="I1032" i="14"/>
  <c r="H1032" i="14" s="1"/>
  <c r="R1031" i="14"/>
  <c r="Q1031" i="14"/>
  <c r="P1031" i="14"/>
  <c r="O1031" i="14"/>
  <c r="N1031" i="14"/>
  <c r="L1031" i="14"/>
  <c r="K1031" i="14"/>
  <c r="J1031" i="14"/>
  <c r="I1031" i="14"/>
  <c r="H1031" i="14" s="1"/>
  <c r="B1032" i="14"/>
  <c r="B1031" i="14"/>
  <c r="B1030" i="1"/>
  <c r="AD1030" i="1"/>
  <c r="AE1030" i="1" a="1"/>
  <c r="AH1030" i="1" s="1"/>
  <c r="AF1030" i="1" a="1"/>
  <c r="AG1030" i="1" a="1"/>
  <c r="X1030" i="17" a="1"/>
  <c r="O1030" i="17" s="1" a="1"/>
  <c r="Q1030" i="17"/>
  <c r="U1030" i="17" s="1"/>
  <c r="W1030" i="17" s="1"/>
  <c r="P1030" i="17"/>
  <c r="H1030" i="17" a="1"/>
  <c r="E1030" i="17"/>
  <c r="B1030" i="14"/>
  <c r="I1030" i="14"/>
  <c r="J1030" i="14"/>
  <c r="K1030" i="14"/>
  <c r="L1030" i="14"/>
  <c r="N1030" i="14"/>
  <c r="O1030" i="14"/>
  <c r="P1030" i="14"/>
  <c r="Q1030" i="14"/>
  <c r="R1030" i="14"/>
  <c r="B1029" i="1"/>
  <c r="AD1029" i="1"/>
  <c r="AE1029" i="1" a="1"/>
  <c r="AH1029" i="1" s="1"/>
  <c r="AF1029" i="1" a="1"/>
  <c r="AG1029" i="1" a="1"/>
  <c r="U1029" i="17"/>
  <c r="W1029" i="17" s="1"/>
  <c r="H1029" i="17" a="1"/>
  <c r="E1029" i="17"/>
  <c r="P1029" i="17"/>
  <c r="X1029" i="17" a="1"/>
  <c r="O1029" i="17" s="1" a="1"/>
  <c r="B1029" i="14"/>
  <c r="I1029" i="14"/>
  <c r="H1029" i="14" s="1"/>
  <c r="J1029" i="14"/>
  <c r="K1029" i="14"/>
  <c r="L1029" i="14"/>
  <c r="N1029" i="14"/>
  <c r="O1029" i="14"/>
  <c r="P1029" i="14"/>
  <c r="Q1029" i="14"/>
  <c r="R1029" i="14"/>
  <c r="B1028" i="1"/>
  <c r="AD1028" i="1"/>
  <c r="AE1028" i="1" a="1"/>
  <c r="AH1028" i="1" s="1"/>
  <c r="AF1028" i="1" a="1"/>
  <c r="AG1028" i="1" a="1"/>
  <c r="Q1028" i="17"/>
  <c r="U1028" i="17" s="1"/>
  <c r="W1028" i="17" s="1"/>
  <c r="H1028" i="17" a="1"/>
  <c r="E1028" i="17"/>
  <c r="P1028" i="17"/>
  <c r="X1028" i="17" a="1"/>
  <c r="O1028" i="17" s="1" a="1"/>
  <c r="B1028" i="14"/>
  <c r="I1028" i="14"/>
  <c r="J1028" i="14"/>
  <c r="K1028" i="14"/>
  <c r="L1028" i="14"/>
  <c r="N1028" i="14"/>
  <c r="O1028" i="14"/>
  <c r="P1028" i="14"/>
  <c r="Q1028" i="14"/>
  <c r="R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U1027" i="17"/>
  <c r="W1027" i="17" s="1"/>
  <c r="X1027" i="17" a="1"/>
  <c r="O1027" i="17" s="1" a="1"/>
  <c r="B1027" i="14"/>
  <c r="I1027" i="14"/>
  <c r="J1027" i="14"/>
  <c r="K1027" i="14"/>
  <c r="L1027" i="14"/>
  <c r="N1027" i="14"/>
  <c r="O1027" i="14"/>
  <c r="P1027" i="14"/>
  <c r="Q1027" i="14"/>
  <c r="R1027" i="14"/>
  <c r="B1026" i="1"/>
  <c r="AD1026" i="1"/>
  <c r="AE1026" i="1" a="1"/>
  <c r="AH1026" i="1" s="1"/>
  <c r="AF1026" i="1" a="1"/>
  <c r="AG1026" i="1" a="1"/>
  <c r="X1026" i="17" a="1"/>
  <c r="O1026" i="17" s="1" a="1"/>
  <c r="U1026" i="17"/>
  <c r="W1026" i="17" s="1"/>
  <c r="P1026" i="17"/>
  <c r="H1026" i="17" a="1"/>
  <c r="E1026" i="17"/>
  <c r="B1026" i="14"/>
  <c r="I1026" i="14"/>
  <c r="H1026" i="14" s="1"/>
  <c r="J1026" i="14"/>
  <c r="K1026" i="14"/>
  <c r="L1026" i="14"/>
  <c r="N1026" i="14"/>
  <c r="O1026" i="14"/>
  <c r="P1026" i="14"/>
  <c r="Q1026" i="14"/>
  <c r="R1026" i="14"/>
  <c r="B1025" i="1"/>
  <c r="AD1025" i="1"/>
  <c r="AE1025" i="1" a="1"/>
  <c r="AH1025" i="1" s="1"/>
  <c r="AF1025" i="1" a="1"/>
  <c r="AG1025" i="1" a="1"/>
  <c r="E1025" i="17"/>
  <c r="H1025" i="17" a="1"/>
  <c r="P1025" i="17"/>
  <c r="U1025" i="17"/>
  <c r="W1025" i="17" s="1"/>
  <c r="X1025" i="17" a="1"/>
  <c r="O1025" i="17" s="1" a="1"/>
  <c r="B1025" i="14"/>
  <c r="I1025" i="14"/>
  <c r="J1025" i="14"/>
  <c r="K1025" i="14"/>
  <c r="L1025" i="14"/>
  <c r="N1025" i="14"/>
  <c r="O1025" i="14"/>
  <c r="P1025" i="14"/>
  <c r="Q1025" i="14"/>
  <c r="R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U1024" i="17"/>
  <c r="W1024" i="17" s="1"/>
  <c r="X1024" i="17" a="1"/>
  <c r="O1024" i="17" s="1" a="1"/>
  <c r="R1024" i="14"/>
  <c r="Q1024" i="14"/>
  <c r="P1024" i="14"/>
  <c r="O1024" i="14"/>
  <c r="N1024" i="14"/>
  <c r="L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C1022" i="19"/>
  <c r="C1023" i="19"/>
  <c r="E1022" i="17"/>
  <c r="E1023" i="17"/>
  <c r="H1022" i="17" a="1"/>
  <c r="H1023" i="17" a="1"/>
  <c r="P1022" i="17"/>
  <c r="P1023" i="17"/>
  <c r="U1022" i="17"/>
  <c r="W1022" i="17" s="1"/>
  <c r="U1023" i="17"/>
  <c r="W1023" i="17" s="1"/>
  <c r="X1022" i="17" a="1"/>
  <c r="O1022" i="17" s="1" a="1"/>
  <c r="X1023" i="17" a="1"/>
  <c r="O1023" i="17" s="1" a="1"/>
  <c r="R1023" i="14"/>
  <c r="Q1023" i="14"/>
  <c r="P1023" i="14"/>
  <c r="O1023" i="14"/>
  <c r="N1023" i="14"/>
  <c r="L1023" i="14"/>
  <c r="K1023" i="14"/>
  <c r="J1023" i="14"/>
  <c r="I1023" i="14"/>
  <c r="D1023" i="14" a="1"/>
  <c r="B1023" i="14"/>
  <c r="R1022" i="14"/>
  <c r="Q1022" i="14"/>
  <c r="P1022" i="14"/>
  <c r="O1022" i="14"/>
  <c r="N1022" i="14"/>
  <c r="L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X1021" i="17" a="1"/>
  <c r="O1021" i="17" s="1" a="1"/>
  <c r="U1021" i="17"/>
  <c r="W1021" i="17" s="1"/>
  <c r="P1021" i="17"/>
  <c r="H1021" i="17" a="1"/>
  <c r="E1021" i="17"/>
  <c r="C1021" i="19"/>
  <c r="R1021" i="14"/>
  <c r="Q1021" i="14"/>
  <c r="P1021" i="14"/>
  <c r="O1021" i="14"/>
  <c r="N1021" i="14"/>
  <c r="L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X1020" i="17" a="1"/>
  <c r="O1020" i="17" s="1" a="1"/>
  <c r="U1020" i="17"/>
  <c r="W1020" i="17" s="1"/>
  <c r="P1020" i="17"/>
  <c r="C1020" i="19"/>
  <c r="E1020" i="17"/>
  <c r="H1020" i="17" a="1"/>
  <c r="B1020" i="14"/>
  <c r="D1020" i="14" a="1"/>
  <c r="I1020" i="14"/>
  <c r="J1020" i="14"/>
  <c r="K1020" i="14"/>
  <c r="L1020" i="14"/>
  <c r="N1020" i="14"/>
  <c r="O1020" i="14"/>
  <c r="P1020" i="14"/>
  <c r="Q1020" i="14"/>
  <c r="R1020" i="14"/>
  <c r="B1019" i="1"/>
  <c r="AD1019" i="1"/>
  <c r="AE1019" i="1" a="1"/>
  <c r="AH1019" i="1" s="1"/>
  <c r="AF1019" i="1" a="1"/>
  <c r="AG1019" i="1" a="1"/>
  <c r="C1019" i="19"/>
  <c r="E1019" i="17"/>
  <c r="H1019" i="17" a="1"/>
  <c r="P1019" i="17"/>
  <c r="X1019" i="17" a="1"/>
  <c r="O1019" i="17" s="1" a="1"/>
  <c r="B1019" i="14"/>
  <c r="D1019" i="14" a="1"/>
  <c r="I1019" i="14"/>
  <c r="J1019" i="14"/>
  <c r="K1019" i="14"/>
  <c r="L1019" i="14"/>
  <c r="N1019" i="14"/>
  <c r="O1019" i="14"/>
  <c r="P1019" i="14"/>
  <c r="Q1019" i="14"/>
  <c r="R1019" i="14"/>
  <c r="J1018" i="17"/>
  <c r="B1018" i="1"/>
  <c r="AD1018" i="1"/>
  <c r="AE1018" i="1" a="1"/>
  <c r="AH1018" i="1" s="1"/>
  <c r="AF1018" i="1" a="1"/>
  <c r="AG1018" i="1" a="1"/>
  <c r="C1018" i="19"/>
  <c r="E1018" i="17"/>
  <c r="H1018" i="17" a="1"/>
  <c r="P1018" i="17"/>
  <c r="U1018" i="17"/>
  <c r="W1018" i="17" s="1"/>
  <c r="X1018" i="17" a="1"/>
  <c r="O1018" i="17" s="1" a="1"/>
  <c r="B1018" i="14"/>
  <c r="D1018" i="14" a="1"/>
  <c r="I1018" i="14"/>
  <c r="J1018" i="14"/>
  <c r="K1018" i="14"/>
  <c r="L1018" i="14"/>
  <c r="N1018" i="14"/>
  <c r="O1018" i="14"/>
  <c r="P1018" i="14"/>
  <c r="Q1018" i="14"/>
  <c r="R1018" i="14"/>
  <c r="P953" i="17"/>
  <c r="U953" i="17"/>
  <c r="W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F1048" i="24" a="1"/>
  <c r="F1047" i="24" a="1"/>
  <c r="F1046" i="24" a="1"/>
  <c r="T70" i="17"/>
  <c r="U70" i="17" s="1"/>
  <c r="W70" i="17" s="1"/>
  <c r="T69" i="17"/>
  <c r="U69" i="17" s="1"/>
  <c r="W69" i="17" s="1"/>
  <c r="I2" i="14"/>
  <c r="H2" i="14" s="1"/>
  <c r="I3" i="14"/>
  <c r="H3" i="14" s="1"/>
  <c r="I4" i="14"/>
  <c r="H4" i="14" s="1"/>
  <c r="I5" i="14"/>
  <c r="H5" i="14" s="1"/>
  <c r="I6" i="14"/>
  <c r="H6" i="14" s="1"/>
  <c r="I7" i="14"/>
  <c r="H7" i="14" s="1"/>
  <c r="I8" i="14"/>
  <c r="H8" i="14" s="1"/>
  <c r="I9" i="14"/>
  <c r="H9" i="14" s="1"/>
  <c r="I10" i="14"/>
  <c r="H10" i="14" s="1"/>
  <c r="I11" i="14"/>
  <c r="H11" i="14" s="1"/>
  <c r="I12" i="14"/>
  <c r="H12" i="14" s="1"/>
  <c r="I13" i="14"/>
  <c r="H13" i="14" s="1"/>
  <c r="I14" i="14"/>
  <c r="H14" i="14" s="1"/>
  <c r="I15" i="14"/>
  <c r="H15" i="14" s="1"/>
  <c r="I16" i="14"/>
  <c r="H16" i="14" s="1"/>
  <c r="I17" i="14"/>
  <c r="H17" i="14" s="1"/>
  <c r="I18" i="14"/>
  <c r="H18" i="14" s="1"/>
  <c r="I19" i="14"/>
  <c r="H19" i="14" s="1"/>
  <c r="I20" i="14"/>
  <c r="H20" i="14" s="1"/>
  <c r="I21" i="14"/>
  <c r="H21" i="14" s="1"/>
  <c r="I22" i="14"/>
  <c r="H22" i="14" s="1"/>
  <c r="I23" i="14"/>
  <c r="H23" i="14" s="1"/>
  <c r="I24" i="14"/>
  <c r="H24" i="14" s="1"/>
  <c r="I25" i="14"/>
  <c r="H25" i="14" s="1"/>
  <c r="I26" i="14"/>
  <c r="H26" i="14" s="1"/>
  <c r="I27" i="14"/>
  <c r="H27" i="14" s="1"/>
  <c r="I28" i="14"/>
  <c r="H28" i="14" s="1"/>
  <c r="I29" i="14"/>
  <c r="H29" i="14" s="1"/>
  <c r="I30" i="14"/>
  <c r="H30" i="14" s="1"/>
  <c r="I31" i="14"/>
  <c r="H31" i="14" s="1"/>
  <c r="I32" i="14"/>
  <c r="H32" i="14" s="1"/>
  <c r="I33" i="14"/>
  <c r="H33" i="14" s="1"/>
  <c r="I34" i="14"/>
  <c r="H34" i="14" s="1"/>
  <c r="I35" i="14"/>
  <c r="H35" i="14" s="1"/>
  <c r="I36" i="14"/>
  <c r="H36" i="14" s="1"/>
  <c r="I37" i="14"/>
  <c r="H37" i="14" s="1"/>
  <c r="I38" i="14"/>
  <c r="H38" i="14" s="1"/>
  <c r="I39" i="14"/>
  <c r="H39" i="14" s="1"/>
  <c r="I40" i="14"/>
  <c r="H40" i="14" s="1"/>
  <c r="I41" i="14"/>
  <c r="H41" i="14" s="1"/>
  <c r="I42" i="14"/>
  <c r="H42" i="14" s="1"/>
  <c r="I43" i="14"/>
  <c r="H43" i="14" s="1"/>
  <c r="I44" i="14"/>
  <c r="H44" i="14" s="1"/>
  <c r="I45" i="14"/>
  <c r="H45" i="14" s="1"/>
  <c r="I46" i="14"/>
  <c r="H46" i="14" s="1"/>
  <c r="I47" i="14"/>
  <c r="H47" i="14" s="1"/>
  <c r="I48" i="14"/>
  <c r="H48" i="14" s="1"/>
  <c r="I49" i="14"/>
  <c r="H49" i="14" s="1"/>
  <c r="I50" i="14"/>
  <c r="H50" i="14" s="1"/>
  <c r="I51" i="14"/>
  <c r="H51" i="14" s="1"/>
  <c r="I52" i="14"/>
  <c r="H52" i="14" s="1"/>
  <c r="I53" i="14"/>
  <c r="H53" i="14" s="1"/>
  <c r="I54" i="14"/>
  <c r="H54" i="14" s="1"/>
  <c r="I55" i="14"/>
  <c r="H55" i="14" s="1"/>
  <c r="I56" i="14"/>
  <c r="H56" i="14" s="1"/>
  <c r="I57" i="14"/>
  <c r="H57" i="14" s="1"/>
  <c r="I58" i="14"/>
  <c r="H58" i="14" s="1"/>
  <c r="I59" i="14"/>
  <c r="H59" i="14" s="1"/>
  <c r="I60" i="14"/>
  <c r="H60" i="14" s="1"/>
  <c r="I61" i="14"/>
  <c r="H61" i="14" s="1"/>
  <c r="I62" i="14"/>
  <c r="H62" i="14" s="1"/>
  <c r="I63" i="14"/>
  <c r="H63" i="14" s="1"/>
  <c r="I64" i="14"/>
  <c r="H64" i="14" s="1"/>
  <c r="I65" i="14"/>
  <c r="H65" i="14" s="1"/>
  <c r="I66" i="14"/>
  <c r="H66" i="14" s="1"/>
  <c r="I67" i="14"/>
  <c r="H67" i="14" s="1"/>
  <c r="I68" i="14"/>
  <c r="H68" i="14" s="1"/>
  <c r="I69" i="14"/>
  <c r="H69" i="14" s="1"/>
  <c r="I70" i="14"/>
  <c r="H70" i="14" s="1"/>
  <c r="I71" i="14"/>
  <c r="H71" i="14" s="1"/>
  <c r="I72" i="14"/>
  <c r="H72" i="14" s="1"/>
  <c r="I73" i="14"/>
  <c r="H73" i="14" s="1"/>
  <c r="I74" i="14"/>
  <c r="H74" i="14" s="1"/>
  <c r="I75" i="14"/>
  <c r="H75" i="14" s="1"/>
  <c r="I76" i="14"/>
  <c r="H76" i="14" s="1"/>
  <c r="I77" i="14"/>
  <c r="H77" i="14" s="1"/>
  <c r="I78" i="14"/>
  <c r="H78" i="14" s="1"/>
  <c r="I79" i="14"/>
  <c r="H79" i="14" s="1"/>
  <c r="I80" i="14"/>
  <c r="H80" i="14" s="1"/>
  <c r="I81" i="14"/>
  <c r="H81" i="14" s="1"/>
  <c r="I82" i="14"/>
  <c r="H82" i="14" s="1"/>
  <c r="I83" i="14"/>
  <c r="H83" i="14" s="1"/>
  <c r="I84" i="14"/>
  <c r="H84" i="14" s="1"/>
  <c r="I85" i="14"/>
  <c r="H85" i="14" s="1"/>
  <c r="I86" i="14"/>
  <c r="H86" i="14" s="1"/>
  <c r="I87" i="14"/>
  <c r="H87" i="14" s="1"/>
  <c r="I88" i="14"/>
  <c r="H88" i="14" s="1"/>
  <c r="I89" i="14"/>
  <c r="H89" i="14" s="1"/>
  <c r="I90" i="14"/>
  <c r="H90" i="14" s="1"/>
  <c r="I91" i="14"/>
  <c r="H91" i="14" s="1"/>
  <c r="I92" i="14"/>
  <c r="H92" i="14" s="1"/>
  <c r="I93" i="14"/>
  <c r="H93" i="14" s="1"/>
  <c r="I94" i="14"/>
  <c r="H94" i="14" s="1"/>
  <c r="I95" i="14"/>
  <c r="H95" i="14" s="1"/>
  <c r="I96" i="14"/>
  <c r="H96" i="14" s="1"/>
  <c r="I97" i="14"/>
  <c r="H97" i="14" s="1"/>
  <c r="I98" i="14"/>
  <c r="H98" i="14" s="1"/>
  <c r="I99" i="14"/>
  <c r="H99" i="14" s="1"/>
  <c r="I100" i="14"/>
  <c r="H100" i="14" s="1"/>
  <c r="I101" i="14"/>
  <c r="H101" i="14" s="1"/>
  <c r="I102" i="14"/>
  <c r="H102" i="14" s="1"/>
  <c r="I103" i="14"/>
  <c r="H103" i="14" s="1"/>
  <c r="I104" i="14"/>
  <c r="H104" i="14" s="1"/>
  <c r="I105" i="14"/>
  <c r="H105" i="14" s="1"/>
  <c r="I106" i="14"/>
  <c r="H106" i="14" s="1"/>
  <c r="I107" i="14"/>
  <c r="H107" i="14" s="1"/>
  <c r="I108" i="14"/>
  <c r="H108" i="14" s="1"/>
  <c r="I109" i="14"/>
  <c r="H109" i="14" s="1"/>
  <c r="I110" i="14"/>
  <c r="H110" i="14" s="1"/>
  <c r="I111" i="14"/>
  <c r="H111" i="14" s="1"/>
  <c r="I112" i="14"/>
  <c r="H112" i="14" s="1"/>
  <c r="I113" i="14"/>
  <c r="H113" i="14" s="1"/>
  <c r="I114" i="14"/>
  <c r="H114" i="14" s="1"/>
  <c r="I115" i="14"/>
  <c r="H115" i="14" s="1"/>
  <c r="I116" i="14"/>
  <c r="H116" i="14" s="1"/>
  <c r="I117" i="14"/>
  <c r="H117" i="14" s="1"/>
  <c r="I118" i="14"/>
  <c r="H118" i="14" s="1"/>
  <c r="I119" i="14"/>
  <c r="H119" i="14" s="1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H917" i="14" s="1"/>
  <c r="I918" i="14"/>
  <c r="H918" i="14" s="1"/>
  <c r="I919" i="14"/>
  <c r="H919" i="14" s="1"/>
  <c r="I920" i="14"/>
  <c r="H920" i="14" s="1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H934" i="14" s="1"/>
  <c r="I935" i="14"/>
  <c r="H935" i="14" s="1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H956" i="14" s="1"/>
  <c r="I957" i="14"/>
  <c r="I958" i="14"/>
  <c r="I959" i="14"/>
  <c r="I960" i="14"/>
  <c r="I961" i="14"/>
  <c r="H961" i="14" s="1"/>
  <c r="I962" i="14"/>
  <c r="H962" i="14" s="1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H981" i="14" s="1"/>
  <c r="I982" i="14"/>
  <c r="I983" i="14"/>
  <c r="I984" i="14"/>
  <c r="H984" i="14" s="1"/>
  <c r="I985" i="14"/>
  <c r="H985" i="14" s="1"/>
  <c r="I986" i="14"/>
  <c r="H986" i="14" s="1"/>
  <c r="I987" i="14"/>
  <c r="H987" i="14" s="1"/>
  <c r="I988" i="14"/>
  <c r="H988" i="14" s="1"/>
  <c r="I989" i="14"/>
  <c r="H989" i="14" s="1"/>
  <c r="I990" i="14"/>
  <c r="H990" i="14" s="1"/>
  <c r="I991" i="14"/>
  <c r="H991" i="14" s="1"/>
  <c r="I992" i="14"/>
  <c r="H992" i="14" s="1"/>
  <c r="I993" i="14"/>
  <c r="H993" i="14" s="1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H1014" i="14" s="1"/>
  <c r="I1015" i="14"/>
  <c r="I1016" i="14"/>
  <c r="H1016" i="14" s="1"/>
  <c r="I1017" i="14"/>
  <c r="H1017" i="14" s="1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E1048" i="24"/>
  <c r="D1048" i="24"/>
  <c r="C1048" i="24"/>
  <c r="B1048" i="24" a="1"/>
  <c r="E1047" i="24"/>
  <c r="D1047" i="24"/>
  <c r="C1047" i="24"/>
  <c r="B1047" i="24" a="1"/>
  <c r="E1046" i="24"/>
  <c r="D1046" i="24"/>
  <c r="C1046" i="24"/>
  <c r="B1046" i="24" a="1"/>
  <c r="B1017" i="1"/>
  <c r="AD1017" i="1"/>
  <c r="AE1017" i="1" a="1"/>
  <c r="AF1017" i="1" a="1"/>
  <c r="AG1017" i="1" a="1"/>
  <c r="E1017" i="17"/>
  <c r="H1017" i="17" a="1"/>
  <c r="P1017" i="17"/>
  <c r="U1017" i="17"/>
  <c r="W1017" i="17" s="1"/>
  <c r="X1017" i="17" a="1"/>
  <c r="O1017" i="17" s="1" a="1"/>
  <c r="B1017" i="14"/>
  <c r="J1017" i="14"/>
  <c r="K1017" i="14"/>
  <c r="L1017" i="14"/>
  <c r="N1017" i="14"/>
  <c r="O1017" i="14"/>
  <c r="P1017" i="14"/>
  <c r="Q1017" i="14"/>
  <c r="R1017" i="14"/>
  <c r="B564" i="1"/>
  <c r="U1013" i="17"/>
  <c r="W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C1016" i="19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U1014" i="17"/>
  <c r="W1014" i="17" s="1"/>
  <c r="U1015" i="17"/>
  <c r="W1015" i="17" s="1"/>
  <c r="U1016" i="17"/>
  <c r="W1016" i="17" s="1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L1016" i="14"/>
  <c r="N1016" i="14"/>
  <c r="O1016" i="14"/>
  <c r="P1016" i="14"/>
  <c r="Q1016" i="14"/>
  <c r="R1016" i="14"/>
  <c r="B1015" i="14"/>
  <c r="J1015" i="14"/>
  <c r="K1015" i="14"/>
  <c r="L1015" i="14"/>
  <c r="N1015" i="14"/>
  <c r="O1015" i="14"/>
  <c r="P1015" i="14"/>
  <c r="Q1015" i="14"/>
  <c r="R1015" i="14"/>
  <c r="B1014" i="14"/>
  <c r="J1014" i="14"/>
  <c r="K1014" i="14"/>
  <c r="L1014" i="14"/>
  <c r="N1014" i="14"/>
  <c r="O1014" i="14"/>
  <c r="P1014" i="14"/>
  <c r="Q1014" i="14"/>
  <c r="R1014" i="14"/>
  <c r="B1013" i="14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H1012" i="17" a="1"/>
  <c r="E1012" i="17"/>
  <c r="C1012" i="19"/>
  <c r="R1012" i="14"/>
  <c r="Q1012" i="14"/>
  <c r="P1012" i="14"/>
  <c r="O1012" i="14"/>
  <c r="N1012" i="14"/>
  <c r="L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U1011" i="17"/>
  <c r="W1011" i="17" s="1"/>
  <c r="X1011" i="17" a="1"/>
  <c r="O1011" i="17" s="1" a="1"/>
  <c r="B1011" i="14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E1010" i="17"/>
  <c r="C1010" i="19"/>
  <c r="H1010" i="17" a="1"/>
  <c r="U1010" i="17"/>
  <c r="W1010" i="17" s="1"/>
  <c r="X1010" i="17" a="1"/>
  <c r="O1010" i="17" s="1" a="1"/>
  <c r="B1010" i="14"/>
  <c r="D1010" i="14" a="1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C1009" i="19"/>
  <c r="E1009" i="17"/>
  <c r="H1009" i="17" a="1"/>
  <c r="P1009" i="17"/>
  <c r="U1009" i="17"/>
  <c r="W1009" i="17" s="1"/>
  <c r="X1009" i="17" a="1"/>
  <c r="O1009" i="17" s="1" a="1"/>
  <c r="B1009" i="14"/>
  <c r="D1009" i="14" a="1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C1008" i="19"/>
  <c r="E1008" i="17"/>
  <c r="H1008" i="17" a="1"/>
  <c r="P1008" i="17"/>
  <c r="U1008" i="17"/>
  <c r="W1008" i="17" s="1"/>
  <c r="X1008" i="17" a="1"/>
  <c r="O1008" i="17" s="1" a="1"/>
  <c r="B1008" i="14"/>
  <c r="D1008" i="14" a="1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C1007" i="19"/>
  <c r="E1007" i="17"/>
  <c r="H1007" i="17" a="1"/>
  <c r="U1007" i="17"/>
  <c r="W1007" i="17" s="1"/>
  <c r="X1007" i="17" a="1"/>
  <c r="O1007" i="17" s="1" a="1"/>
  <c r="B1007" i="14"/>
  <c r="D1007" i="14" a="1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E1006" i="17"/>
  <c r="H1006" i="17" a="1"/>
  <c r="U1006" i="17"/>
  <c r="W1006" i="17" s="1"/>
  <c r="X1006" i="17" a="1"/>
  <c r="O1006" i="17" s="1" a="1"/>
  <c r="B1006" i="14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E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U1004" i="17"/>
  <c r="W1004" i="17" s="1"/>
  <c r="X1004" i="17" a="1"/>
  <c r="O1004" i="17" s="1" a="1"/>
  <c r="B1004" i="14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E1003" i="17"/>
  <c r="H1003" i="17" a="1"/>
  <c r="P1003" i="17"/>
  <c r="U1003" i="17"/>
  <c r="W1003" i="17" s="1"/>
  <c r="X1003" i="17" a="1"/>
  <c r="O1003" i="17" s="1" a="1"/>
  <c r="B1003" i="14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H1002" i="17" a="1"/>
  <c r="E1002" i="17"/>
  <c r="B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E999" i="17"/>
  <c r="E1000" i="17"/>
  <c r="E1001" i="17"/>
  <c r="H999" i="17" a="1"/>
  <c r="H1000" i="17" a="1"/>
  <c r="H1001" i="17" a="1"/>
  <c r="P1000" i="17"/>
  <c r="U1000" i="17"/>
  <c r="W1000" i="17" s="1"/>
  <c r="X1000" i="17" a="1"/>
  <c r="O1000" i="17" s="1" a="1"/>
  <c r="B1001" i="14"/>
  <c r="J1001" i="14"/>
  <c r="K1001" i="14"/>
  <c r="L1001" i="14"/>
  <c r="N1001" i="14"/>
  <c r="O1001" i="14"/>
  <c r="P1001" i="14"/>
  <c r="Q1001" i="14"/>
  <c r="R1001" i="14"/>
  <c r="B1000" i="14"/>
  <c r="J1000" i="14"/>
  <c r="K1000" i="14"/>
  <c r="L1000" i="14"/>
  <c r="N1000" i="14"/>
  <c r="O1000" i="14"/>
  <c r="P1000" i="14"/>
  <c r="Q1000" i="14"/>
  <c r="R1000" i="14"/>
  <c r="B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E998" i="17"/>
  <c r="H998" i="17" a="1"/>
  <c r="P998" i="17"/>
  <c r="U998" i="17"/>
  <c r="W998" i="17" s="1"/>
  <c r="X998" i="17" a="1"/>
  <c r="O998" i="17" s="1" a="1"/>
  <c r="B998" i="14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E997" i="17"/>
  <c r="H997" i="17" a="1"/>
  <c r="P997" i="17"/>
  <c r="U997" i="17"/>
  <c r="W997" i="17" s="1"/>
  <c r="X997" i="17" a="1"/>
  <c r="O997" i="17" s="1" a="1"/>
  <c r="B997" i="14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E996" i="17"/>
  <c r="H996" i="17" a="1"/>
  <c r="P996" i="17"/>
  <c r="U996" i="17"/>
  <c r="W996" i="17" s="1"/>
  <c r="X996" i="17" a="1"/>
  <c r="O996" i="17" s="1" a="1"/>
  <c r="B996" i="14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E995" i="17"/>
  <c r="H995" i="17" a="1"/>
  <c r="P995" i="17"/>
  <c r="U995" i="17"/>
  <c r="W995" i="17" s="1"/>
  <c r="X995" i="17" a="1"/>
  <c r="O995" i="17" s="1" a="1"/>
  <c r="B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U994" i="17"/>
  <c r="W994" i="17" s="1"/>
  <c r="X994" i="17" a="1"/>
  <c r="O994" i="17" s="1" a="1"/>
  <c r="B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C1040" i="19"/>
  <c r="C1039" i="19"/>
  <c r="G1035" i="19"/>
  <c r="C1035" i="19"/>
  <c r="G1034" i="19"/>
  <c r="C1034" i="19"/>
  <c r="G1033" i="19"/>
  <c r="C1033" i="19"/>
  <c r="C1032" i="19"/>
  <c r="C1031" i="19"/>
  <c r="C1030" i="19"/>
  <c r="C1029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H993" i="17" a="1"/>
  <c r="E993" i="17"/>
  <c r="X992" i="17" a="1"/>
  <c r="O992" i="17" s="1" a="1"/>
  <c r="U992" i="17"/>
  <c r="W992" i="17" s="1"/>
  <c r="R992" i="17"/>
  <c r="P992" i="17"/>
  <c r="H992" i="17" a="1"/>
  <c r="E992" i="17"/>
  <c r="X991" i="17" a="1"/>
  <c r="O991" i="17" s="1" a="1"/>
  <c r="U991" i="17"/>
  <c r="W991" i="17" s="1"/>
  <c r="P991" i="17"/>
  <c r="H991" i="17" a="1"/>
  <c r="E991" i="17"/>
  <c r="X990" i="17" a="1"/>
  <c r="O990" i="17" s="1" a="1"/>
  <c r="U990" i="17"/>
  <c r="W990" i="17" s="1"/>
  <c r="P990" i="17"/>
  <c r="H990" i="17" a="1"/>
  <c r="E990" i="17"/>
  <c r="X989" i="17" a="1"/>
  <c r="O989" i="17" s="1" a="1"/>
  <c r="U989" i="17"/>
  <c r="W989" i="17" s="1"/>
  <c r="P989" i="17"/>
  <c r="H989" i="17" a="1"/>
  <c r="E989" i="17"/>
  <c r="X988" i="17" a="1"/>
  <c r="O988" i="17" s="1" a="1"/>
  <c r="U988" i="17"/>
  <c r="W988" i="17" s="1"/>
  <c r="H988" i="17" a="1"/>
  <c r="E988" i="17"/>
  <c r="X987" i="17" a="1"/>
  <c r="O987" i="17" s="1" a="1"/>
  <c r="U987" i="17"/>
  <c r="W987" i="17" s="1"/>
  <c r="P987" i="17"/>
  <c r="H987" i="17" a="1"/>
  <c r="E987" i="17"/>
  <c r="X986" i="17" a="1"/>
  <c r="O986" i="17" s="1" a="1"/>
  <c r="U986" i="17"/>
  <c r="W986" i="17" s="1"/>
  <c r="P986" i="17"/>
  <c r="H986" i="17" a="1"/>
  <c r="E986" i="17"/>
  <c r="Y985" i="17"/>
  <c r="X985" i="17" a="1"/>
  <c r="O985" i="17" s="1" a="1"/>
  <c r="T985" i="17"/>
  <c r="Q985" i="17"/>
  <c r="P985" i="17"/>
  <c r="J985" i="17"/>
  <c r="H985" i="17" a="1"/>
  <c r="E985" i="17"/>
  <c r="X984" i="17" a="1"/>
  <c r="O984" i="17" s="1" a="1"/>
  <c r="U984" i="17"/>
  <c r="W984" i="17" s="1"/>
  <c r="P984" i="17"/>
  <c r="H984" i="17" a="1"/>
  <c r="E984" i="17"/>
  <c r="X983" i="17" a="1"/>
  <c r="O983" i="17" s="1" a="1"/>
  <c r="U983" i="17"/>
  <c r="W983" i="17" s="1"/>
  <c r="R983" i="17"/>
  <c r="P983" i="17"/>
  <c r="H983" i="17" a="1"/>
  <c r="E983" i="17"/>
  <c r="X982" i="17" a="1"/>
  <c r="O982" i="17" s="1" a="1"/>
  <c r="U982" i="17"/>
  <c r="W982" i="17" s="1"/>
  <c r="R982" i="17"/>
  <c r="P982" i="17"/>
  <c r="H982" i="17" a="1"/>
  <c r="E982" i="17"/>
  <c r="X981" i="17" a="1"/>
  <c r="O981" i="17" s="1" a="1"/>
  <c r="U981" i="17"/>
  <c r="W981" i="17" s="1"/>
  <c r="R981" i="17"/>
  <c r="P981" i="17"/>
  <c r="H981" i="17" a="1"/>
  <c r="E981" i="17"/>
  <c r="X980" i="17" a="1"/>
  <c r="O980" i="17" s="1" a="1"/>
  <c r="U980" i="17"/>
  <c r="W980" i="17" s="1"/>
  <c r="R980" i="17"/>
  <c r="P980" i="17"/>
  <c r="H980" i="17" a="1"/>
  <c r="E980" i="17"/>
  <c r="X979" i="17" a="1"/>
  <c r="O979" i="17" s="1" a="1"/>
  <c r="U979" i="17"/>
  <c r="W979" i="17" s="1"/>
  <c r="P979" i="17"/>
  <c r="H979" i="17" a="1"/>
  <c r="E979" i="17"/>
  <c r="X978" i="17" a="1"/>
  <c r="O978" i="17" s="1" a="1"/>
  <c r="U978" i="17"/>
  <c r="W978" i="17" s="1"/>
  <c r="R978" i="17"/>
  <c r="P978" i="17"/>
  <c r="H978" i="17" a="1"/>
  <c r="E978" i="17"/>
  <c r="X977" i="17" a="1"/>
  <c r="O977" i="17" s="1" a="1"/>
  <c r="U977" i="17"/>
  <c r="W977" i="17" s="1"/>
  <c r="R977" i="17"/>
  <c r="P977" i="17"/>
  <c r="H977" i="17" a="1"/>
  <c r="E977" i="17"/>
  <c r="X976" i="17" a="1"/>
  <c r="O976" i="17" s="1" a="1"/>
  <c r="Q976" i="17"/>
  <c r="U976" i="17" s="1"/>
  <c r="W976" i="17" s="1"/>
  <c r="P976" i="17"/>
  <c r="H976" i="17" a="1"/>
  <c r="E976" i="17"/>
  <c r="X975" i="17" a="1"/>
  <c r="O975" i="17" s="1" a="1"/>
  <c r="T975" i="17"/>
  <c r="U975" i="17" s="1"/>
  <c r="W975" i="17" s="1"/>
  <c r="P975" i="17"/>
  <c r="H975" i="17" a="1"/>
  <c r="E975" i="17"/>
  <c r="X974" i="17" a="1"/>
  <c r="O974" i="17" s="1" a="1"/>
  <c r="Q974" i="17"/>
  <c r="U974" i="17" s="1"/>
  <c r="W974" i="17" s="1"/>
  <c r="P974" i="17"/>
  <c r="J974" i="17"/>
  <c r="H974" i="17" a="1"/>
  <c r="E974" i="17"/>
  <c r="X973" i="17" a="1"/>
  <c r="O973" i="17" s="1" a="1"/>
  <c r="T973" i="17"/>
  <c r="U973" i="17" s="1"/>
  <c r="W973" i="17" s="1"/>
  <c r="S973" i="17"/>
  <c r="M973" i="17" s="1" a="1"/>
  <c r="N973" i="17" s="1"/>
  <c r="P973" i="17"/>
  <c r="H973" i="17" a="1"/>
  <c r="E973" i="17"/>
  <c r="X972" i="17" a="1"/>
  <c r="O972" i="17" s="1" a="1"/>
  <c r="T972" i="17"/>
  <c r="U972" i="17" s="1"/>
  <c r="W972" i="17" s="1"/>
  <c r="P972" i="17"/>
  <c r="H972" i="17" a="1"/>
  <c r="E972" i="17"/>
  <c r="X971" i="17" a="1"/>
  <c r="O971" i="17" s="1" a="1"/>
  <c r="U971" i="17"/>
  <c r="W971" i="17" s="1"/>
  <c r="P971" i="17"/>
  <c r="H971" i="17" a="1"/>
  <c r="E971" i="17"/>
  <c r="X970" i="17" a="1"/>
  <c r="O970" i="17" s="1" a="1"/>
  <c r="U970" i="17"/>
  <c r="W970" i="17" s="1"/>
  <c r="P970" i="17"/>
  <c r="H970" i="17" a="1"/>
  <c r="E970" i="17"/>
  <c r="X969" i="17" a="1"/>
  <c r="O969" i="17" s="1" a="1"/>
  <c r="U969" i="17"/>
  <c r="W969" i="17" s="1"/>
  <c r="P969" i="17"/>
  <c r="H969" i="17" a="1"/>
  <c r="E969" i="17"/>
  <c r="X968" i="17" a="1"/>
  <c r="O968" i="17" s="1" a="1"/>
  <c r="U968" i="17"/>
  <c r="W968" i="17" s="1"/>
  <c r="P968" i="17"/>
  <c r="H968" i="17" a="1"/>
  <c r="E968" i="17"/>
  <c r="X967" i="17" a="1"/>
  <c r="O967" i="17" s="1" a="1"/>
  <c r="U967" i="17"/>
  <c r="W967" i="17" s="1"/>
  <c r="P967" i="17"/>
  <c r="H967" i="17" a="1"/>
  <c r="E967" i="17"/>
  <c r="X966" i="17" a="1"/>
  <c r="O966" i="17" s="1" a="1"/>
  <c r="U966" i="17"/>
  <c r="W966" i="17" s="1"/>
  <c r="P966" i="17"/>
  <c r="H966" i="17" a="1"/>
  <c r="E966" i="17"/>
  <c r="X965" i="17" a="1"/>
  <c r="O965" i="17" s="1" a="1"/>
  <c r="U965" i="17"/>
  <c r="W965" i="17" s="1"/>
  <c r="P965" i="17"/>
  <c r="H965" i="17" a="1"/>
  <c r="E965" i="17"/>
  <c r="X964" i="17" a="1"/>
  <c r="O964" i="17" s="1" a="1"/>
  <c r="U964" i="17"/>
  <c r="W964" i="17" s="1"/>
  <c r="P964" i="17"/>
  <c r="H964" i="17" a="1"/>
  <c r="E964" i="17"/>
  <c r="X963" i="17" a="1"/>
  <c r="O963" i="17" s="1" a="1"/>
  <c r="U963" i="17"/>
  <c r="W963" i="17" s="1"/>
  <c r="P963" i="17"/>
  <c r="H963" i="17" a="1"/>
  <c r="E963" i="17"/>
  <c r="X962" i="17" a="1"/>
  <c r="O962" i="17" s="1" a="1"/>
  <c r="U962" i="17"/>
  <c r="W962" i="17" s="1"/>
  <c r="P962" i="17"/>
  <c r="H962" i="17" a="1"/>
  <c r="E962" i="17"/>
  <c r="X961" i="17" a="1"/>
  <c r="O961" i="17" s="1" a="1"/>
  <c r="U961" i="17"/>
  <c r="W961" i="17" s="1"/>
  <c r="P961" i="17"/>
  <c r="H961" i="17" a="1"/>
  <c r="E961" i="17"/>
  <c r="X960" i="17" a="1"/>
  <c r="O960" i="17" s="1" a="1"/>
  <c r="U960" i="17"/>
  <c r="W960" i="17" s="1"/>
  <c r="P960" i="17"/>
  <c r="H960" i="17" a="1"/>
  <c r="E960" i="17"/>
  <c r="X959" i="17" a="1"/>
  <c r="O959" i="17" s="1" a="1"/>
  <c r="U959" i="17"/>
  <c r="W959" i="17" s="1"/>
  <c r="P959" i="17"/>
  <c r="H959" i="17" a="1"/>
  <c r="E959" i="17"/>
  <c r="X958" i="17" a="1"/>
  <c r="O958" i="17" s="1" a="1"/>
  <c r="U958" i="17"/>
  <c r="W958" i="17" s="1"/>
  <c r="P958" i="17"/>
  <c r="H958" i="17" a="1"/>
  <c r="E958" i="17"/>
  <c r="X957" i="17" a="1"/>
  <c r="O957" i="17" s="1" a="1"/>
  <c r="U957" i="17"/>
  <c r="W957" i="17" s="1"/>
  <c r="S957" i="17"/>
  <c r="M957" i="17" s="1" a="1"/>
  <c r="N957" i="17" s="1"/>
  <c r="P957" i="17"/>
  <c r="H957" i="17" a="1"/>
  <c r="E957" i="17"/>
  <c r="X956" i="17" a="1"/>
  <c r="O956" i="17" s="1" a="1"/>
  <c r="U956" i="17"/>
  <c r="W956" i="17" s="1"/>
  <c r="P956" i="17"/>
  <c r="H956" i="17" a="1"/>
  <c r="E956" i="17"/>
  <c r="X955" i="17" a="1"/>
  <c r="O955" i="17" s="1" a="1"/>
  <c r="U955" i="17"/>
  <c r="W955" i="17" s="1"/>
  <c r="P955" i="17"/>
  <c r="H955" i="17" a="1"/>
  <c r="E955" i="17"/>
  <c r="X954" i="17" a="1"/>
  <c r="O954" i="17" s="1" a="1"/>
  <c r="U954" i="17"/>
  <c r="W954" i="17" s="1"/>
  <c r="P954" i="17"/>
  <c r="H954" i="17" a="1"/>
  <c r="E954" i="17"/>
  <c r="X953" i="17" a="1"/>
  <c r="O953" i="17" s="1" a="1"/>
  <c r="H953" i="17" a="1"/>
  <c r="E953" i="17"/>
  <c r="X952" i="17" a="1"/>
  <c r="O952" i="17" s="1" a="1"/>
  <c r="U952" i="17"/>
  <c r="W952" i="17" s="1"/>
  <c r="P952" i="17"/>
  <c r="H952" i="17" a="1"/>
  <c r="E952" i="17"/>
  <c r="X951" i="17" a="1"/>
  <c r="O951" i="17" s="1" a="1"/>
  <c r="U951" i="17"/>
  <c r="W951" i="17" s="1"/>
  <c r="P951" i="17"/>
  <c r="H951" i="17" a="1"/>
  <c r="E951" i="17"/>
  <c r="X950" i="17" a="1"/>
  <c r="O950" i="17" s="1" a="1"/>
  <c r="U950" i="17"/>
  <c r="W950" i="17" s="1"/>
  <c r="P950" i="17"/>
  <c r="H950" i="17" a="1"/>
  <c r="E950" i="17"/>
  <c r="X949" i="17" a="1"/>
  <c r="O949" i="17" s="1" a="1"/>
  <c r="U949" i="17"/>
  <c r="W949" i="17" s="1"/>
  <c r="P949" i="17"/>
  <c r="H949" i="17" a="1"/>
  <c r="E949" i="17"/>
  <c r="X948" i="17" a="1"/>
  <c r="O948" i="17" s="1" a="1"/>
  <c r="U948" i="17"/>
  <c r="W948" i="17" s="1"/>
  <c r="P948" i="17"/>
  <c r="H948" i="17" a="1"/>
  <c r="E948" i="17"/>
  <c r="X947" i="17" a="1"/>
  <c r="O947" i="17" s="1" a="1"/>
  <c r="U947" i="17"/>
  <c r="W947" i="17" s="1"/>
  <c r="P947" i="17"/>
  <c r="H947" i="17" a="1"/>
  <c r="E947" i="17"/>
  <c r="X946" i="17" a="1"/>
  <c r="O946" i="17" s="1" a="1"/>
  <c r="U946" i="17"/>
  <c r="W946" i="17" s="1"/>
  <c r="P946" i="17"/>
  <c r="H946" i="17" a="1"/>
  <c r="E946" i="17"/>
  <c r="X945" i="17" a="1"/>
  <c r="O945" i="17" s="1" a="1"/>
  <c r="U945" i="17"/>
  <c r="W945" i="17" s="1"/>
  <c r="P945" i="17"/>
  <c r="H945" i="17" a="1"/>
  <c r="E945" i="17"/>
  <c r="X944" i="17" a="1"/>
  <c r="O944" i="17" s="1" a="1"/>
  <c r="U944" i="17"/>
  <c r="W944" i="17" s="1"/>
  <c r="P944" i="17"/>
  <c r="H944" i="17" a="1"/>
  <c r="E944" i="17"/>
  <c r="X943" i="17" a="1"/>
  <c r="O943" i="17" s="1" a="1"/>
  <c r="U943" i="17"/>
  <c r="W943" i="17" s="1"/>
  <c r="P943" i="17"/>
  <c r="H943" i="17" a="1"/>
  <c r="E943" i="17"/>
  <c r="X942" i="17" a="1"/>
  <c r="O942" i="17" s="1" a="1"/>
  <c r="U942" i="17"/>
  <c r="W942" i="17" s="1"/>
  <c r="P942" i="17"/>
  <c r="H942" i="17" a="1"/>
  <c r="E942" i="17"/>
  <c r="X941" i="17" a="1"/>
  <c r="O941" i="17" s="1" a="1"/>
  <c r="U941" i="17"/>
  <c r="W941" i="17" s="1"/>
  <c r="P941" i="17"/>
  <c r="H941" i="17" a="1"/>
  <c r="E941" i="17"/>
  <c r="X940" i="17" a="1"/>
  <c r="O940" i="17" s="1" a="1"/>
  <c r="U940" i="17"/>
  <c r="W940" i="17" s="1"/>
  <c r="P940" i="17"/>
  <c r="H940" i="17" a="1"/>
  <c r="E940" i="17"/>
  <c r="X939" i="17" a="1"/>
  <c r="O939" i="17" s="1" a="1"/>
  <c r="U939" i="17"/>
  <c r="W939" i="17" s="1"/>
  <c r="P939" i="17"/>
  <c r="H939" i="17" a="1"/>
  <c r="E939" i="17"/>
  <c r="X938" i="17" a="1"/>
  <c r="O938" i="17" s="1" a="1"/>
  <c r="U938" i="17"/>
  <c r="W938" i="17" s="1"/>
  <c r="R938" i="17"/>
  <c r="P938" i="17"/>
  <c r="H938" i="17" a="1"/>
  <c r="E938" i="17"/>
  <c r="X937" i="17" a="1"/>
  <c r="O937" i="17" s="1" a="1"/>
  <c r="U937" i="17"/>
  <c r="W937" i="17" s="1"/>
  <c r="P937" i="17"/>
  <c r="J937" i="17"/>
  <c r="H937" i="17" a="1"/>
  <c r="E937" i="17"/>
  <c r="X936" i="17" a="1"/>
  <c r="O936" i="17" s="1" a="1"/>
  <c r="U936" i="17"/>
  <c r="W936" i="17" s="1"/>
  <c r="P936" i="17"/>
  <c r="J936" i="17"/>
  <c r="H936" i="17" a="1"/>
  <c r="E936" i="17"/>
  <c r="X935" i="17" a="1"/>
  <c r="O935" i="17" s="1" a="1"/>
  <c r="U935" i="17"/>
  <c r="W935" i="17" s="1"/>
  <c r="P935" i="17"/>
  <c r="H935" i="17" a="1"/>
  <c r="E935" i="17"/>
  <c r="X934" i="17" a="1"/>
  <c r="O934" i="17" s="1" a="1"/>
  <c r="T934" i="17"/>
  <c r="U934" i="17" s="1"/>
  <c r="W934" i="17" s="1"/>
  <c r="P934" i="17"/>
  <c r="H934" i="17" a="1"/>
  <c r="E934" i="17"/>
  <c r="X933" i="17" a="1"/>
  <c r="O933" i="17" s="1" a="1"/>
  <c r="U933" i="17"/>
  <c r="W933" i="17" s="1"/>
  <c r="P933" i="17"/>
  <c r="H933" i="17" a="1"/>
  <c r="E933" i="17"/>
  <c r="X932" i="17" a="1"/>
  <c r="O932" i="17" s="1" a="1"/>
  <c r="U932" i="17"/>
  <c r="W932" i="17" s="1"/>
  <c r="P932" i="17"/>
  <c r="H932" i="17" a="1"/>
  <c r="E932" i="17"/>
  <c r="X931" i="17" a="1"/>
  <c r="O931" i="17" s="1" a="1"/>
  <c r="U931" i="17"/>
  <c r="W931" i="17" s="1"/>
  <c r="P931" i="17"/>
  <c r="H931" i="17" a="1"/>
  <c r="E931" i="17"/>
  <c r="X930" i="17" a="1"/>
  <c r="O930" i="17" s="1" a="1"/>
  <c r="U930" i="17"/>
  <c r="W930" i="17" s="1"/>
  <c r="P930" i="17"/>
  <c r="H930" i="17" a="1"/>
  <c r="E930" i="17"/>
  <c r="X929" i="17" a="1"/>
  <c r="O929" i="17" s="1" a="1"/>
  <c r="U929" i="17"/>
  <c r="W929" i="17" s="1"/>
  <c r="P929" i="17"/>
  <c r="H929" i="17" a="1"/>
  <c r="E929" i="17"/>
  <c r="X928" i="17" a="1"/>
  <c r="O928" i="17" s="1" a="1"/>
  <c r="U928" i="17"/>
  <c r="W928" i="17" s="1"/>
  <c r="P928" i="17"/>
  <c r="H928" i="17" a="1"/>
  <c r="E928" i="17"/>
  <c r="X927" i="17" a="1"/>
  <c r="O927" i="17" s="1" a="1"/>
  <c r="U927" i="17"/>
  <c r="W927" i="17" s="1"/>
  <c r="P927" i="17"/>
  <c r="H927" i="17" a="1"/>
  <c r="E927" i="17"/>
  <c r="X926" i="17" a="1"/>
  <c r="O926" i="17" s="1" a="1"/>
  <c r="U926" i="17"/>
  <c r="W926" i="17" s="1"/>
  <c r="P926" i="17"/>
  <c r="H926" i="17" a="1"/>
  <c r="E926" i="17"/>
  <c r="X925" i="17" a="1"/>
  <c r="O925" i="17" s="1" a="1"/>
  <c r="U925" i="17"/>
  <c r="W925" i="17" s="1"/>
  <c r="P925" i="17"/>
  <c r="H925" i="17" a="1"/>
  <c r="E925" i="17"/>
  <c r="X924" i="17" a="1"/>
  <c r="O924" i="17" s="1" a="1"/>
  <c r="U924" i="17"/>
  <c r="W924" i="17" s="1"/>
  <c r="P924" i="17"/>
  <c r="H924" i="17" a="1"/>
  <c r="E924" i="17"/>
  <c r="X923" i="17" a="1"/>
  <c r="O923" i="17" s="1" a="1"/>
  <c r="U923" i="17"/>
  <c r="W923" i="17" s="1"/>
  <c r="P923" i="17"/>
  <c r="H923" i="17" a="1"/>
  <c r="E923" i="17"/>
  <c r="X922" i="17" a="1"/>
  <c r="O922" i="17" s="1" a="1"/>
  <c r="U922" i="17"/>
  <c r="W922" i="17" s="1"/>
  <c r="P922" i="17"/>
  <c r="H922" i="17" a="1"/>
  <c r="E922" i="17"/>
  <c r="X921" i="17" a="1"/>
  <c r="O921" i="17" s="1" a="1"/>
  <c r="U921" i="17"/>
  <c r="W921" i="17" s="1"/>
  <c r="P921" i="17"/>
  <c r="H921" i="17" a="1"/>
  <c r="E921" i="17"/>
  <c r="X920" i="17" a="1"/>
  <c r="O920" i="17" s="1" a="1"/>
  <c r="U920" i="17"/>
  <c r="W920" i="17" s="1"/>
  <c r="P920" i="17"/>
  <c r="H920" i="17" a="1"/>
  <c r="E920" i="17"/>
  <c r="X919" i="17" a="1"/>
  <c r="O919" i="17" s="1" a="1"/>
  <c r="U919" i="17"/>
  <c r="W919" i="17" s="1"/>
  <c r="P919" i="17"/>
  <c r="H919" i="17" a="1"/>
  <c r="E919" i="17"/>
  <c r="X918" i="17" a="1"/>
  <c r="O918" i="17" s="1" a="1"/>
  <c r="U918" i="17"/>
  <c r="W918" i="17" s="1"/>
  <c r="P918" i="17"/>
  <c r="H918" i="17" a="1"/>
  <c r="E918" i="17"/>
  <c r="X917" i="17" a="1"/>
  <c r="O917" i="17" s="1" a="1"/>
  <c r="U917" i="17"/>
  <c r="W917" i="17" s="1"/>
  <c r="P917" i="17"/>
  <c r="H917" i="17" a="1"/>
  <c r="E917" i="17"/>
  <c r="X916" i="17" a="1"/>
  <c r="O916" i="17" s="1" a="1"/>
  <c r="U916" i="17"/>
  <c r="W916" i="17" s="1"/>
  <c r="P916" i="17"/>
  <c r="H916" i="17" a="1"/>
  <c r="E916" i="17"/>
  <c r="X915" i="17" a="1"/>
  <c r="O915" i="17" s="1" a="1"/>
  <c r="U915" i="17"/>
  <c r="W915" i="17" s="1"/>
  <c r="P915" i="17"/>
  <c r="H915" i="17" a="1"/>
  <c r="E915" i="17"/>
  <c r="X914" i="17" a="1"/>
  <c r="O914" i="17" s="1" a="1"/>
  <c r="U914" i="17"/>
  <c r="W914" i="17" s="1"/>
  <c r="P914" i="17"/>
  <c r="H914" i="17" a="1"/>
  <c r="E914" i="17"/>
  <c r="X913" i="17" a="1"/>
  <c r="O913" i="17" s="1" a="1"/>
  <c r="U913" i="17"/>
  <c r="W913" i="17" s="1"/>
  <c r="P913" i="17"/>
  <c r="H913" i="17" a="1"/>
  <c r="E913" i="17"/>
  <c r="X912" i="17" a="1"/>
  <c r="O912" i="17" s="1" a="1"/>
  <c r="U912" i="17"/>
  <c r="W912" i="17" s="1"/>
  <c r="P912" i="17"/>
  <c r="H912" i="17" a="1"/>
  <c r="E912" i="17"/>
  <c r="X911" i="17" a="1"/>
  <c r="O911" i="17" s="1" a="1"/>
  <c r="U911" i="17"/>
  <c r="W911" i="17" s="1"/>
  <c r="P911" i="17"/>
  <c r="H911" i="17" a="1"/>
  <c r="E911" i="17"/>
  <c r="X910" i="17" a="1"/>
  <c r="O910" i="17" s="1" a="1"/>
  <c r="U910" i="17"/>
  <c r="W910" i="17" s="1"/>
  <c r="P910" i="17"/>
  <c r="H910" i="17" a="1"/>
  <c r="E910" i="17"/>
  <c r="X909" i="17" a="1"/>
  <c r="O909" i="17" s="1" a="1"/>
  <c r="U909" i="17"/>
  <c r="W909" i="17" s="1"/>
  <c r="P909" i="17"/>
  <c r="J909" i="17"/>
  <c r="H909" i="17" a="1"/>
  <c r="E909" i="17"/>
  <c r="X908" i="17" a="1"/>
  <c r="O908" i="17" s="1" a="1"/>
  <c r="U908" i="17"/>
  <c r="W908" i="17" s="1"/>
  <c r="P908" i="17"/>
  <c r="H908" i="17" a="1"/>
  <c r="E908" i="17"/>
  <c r="X907" i="17" a="1"/>
  <c r="O907" i="17" s="1" a="1"/>
  <c r="U907" i="17"/>
  <c r="W907" i="17" s="1"/>
  <c r="P907" i="17"/>
  <c r="H907" i="17" a="1"/>
  <c r="E907" i="17"/>
  <c r="X906" i="17" a="1"/>
  <c r="O906" i="17" s="1" a="1"/>
  <c r="U906" i="17"/>
  <c r="W906" i="17" s="1"/>
  <c r="P906" i="17"/>
  <c r="H906" i="17" a="1"/>
  <c r="E906" i="17"/>
  <c r="X905" i="17" a="1"/>
  <c r="O905" i="17" s="1" a="1"/>
  <c r="Q905" i="17"/>
  <c r="U905" i="17" s="1"/>
  <c r="W905" i="17" s="1"/>
  <c r="P905" i="17"/>
  <c r="J905" i="17"/>
  <c r="H905" i="17" a="1"/>
  <c r="E905" i="17"/>
  <c r="X904" i="17" a="1"/>
  <c r="O904" i="17" s="1" a="1"/>
  <c r="U904" i="17"/>
  <c r="W904" i="17" s="1"/>
  <c r="P904" i="17"/>
  <c r="H904" i="17" a="1"/>
  <c r="E904" i="17"/>
  <c r="X903" i="17" a="1"/>
  <c r="O903" i="17" s="1" a="1"/>
  <c r="U903" i="17"/>
  <c r="W903" i="17" s="1"/>
  <c r="P903" i="17"/>
  <c r="H903" i="17" a="1"/>
  <c r="E903" i="17"/>
  <c r="X902" i="17" a="1"/>
  <c r="O902" i="17" s="1" a="1"/>
  <c r="Q902" i="17"/>
  <c r="U902" i="17" s="1"/>
  <c r="W902" i="17" s="1"/>
  <c r="P902" i="17"/>
  <c r="J902" i="17"/>
  <c r="H902" i="17" a="1"/>
  <c r="E902" i="17"/>
  <c r="X901" i="17" a="1"/>
  <c r="O901" i="17" s="1" a="1"/>
  <c r="U901" i="17"/>
  <c r="W901" i="17" s="1"/>
  <c r="P901" i="17"/>
  <c r="H901" i="17" a="1"/>
  <c r="E901" i="17"/>
  <c r="X900" i="17" a="1"/>
  <c r="O900" i="17" s="1" a="1"/>
  <c r="U900" i="17"/>
  <c r="W900" i="17" s="1"/>
  <c r="P900" i="17"/>
  <c r="H900" i="17" a="1"/>
  <c r="E900" i="17"/>
  <c r="X899" i="17" a="1"/>
  <c r="O899" i="17" s="1" a="1"/>
  <c r="T899" i="17"/>
  <c r="U899" i="17" s="1"/>
  <c r="W899" i="17" s="1"/>
  <c r="P899" i="17"/>
  <c r="H899" i="17" a="1"/>
  <c r="E899" i="17"/>
  <c r="X898" i="17" a="1"/>
  <c r="O898" i="17" s="1" a="1"/>
  <c r="T898" i="17"/>
  <c r="U898" i="17" s="1"/>
  <c r="W898" i="17" s="1"/>
  <c r="P898" i="17"/>
  <c r="H898" i="17" a="1"/>
  <c r="E898" i="17"/>
  <c r="X897" i="17" a="1"/>
  <c r="O897" i="17" s="1" a="1"/>
  <c r="U897" i="17"/>
  <c r="W897" i="17" s="1"/>
  <c r="P897" i="17"/>
  <c r="H897" i="17" a="1"/>
  <c r="E897" i="17"/>
  <c r="X896" i="17" a="1"/>
  <c r="O896" i="17" s="1" a="1"/>
  <c r="U896" i="17"/>
  <c r="W896" i="17" s="1"/>
  <c r="P896" i="17"/>
  <c r="H896" i="17" a="1"/>
  <c r="E896" i="17"/>
  <c r="X895" i="17" a="1"/>
  <c r="O895" i="17" s="1" a="1"/>
  <c r="U895" i="17"/>
  <c r="W895" i="17" s="1"/>
  <c r="R895" i="17"/>
  <c r="P895" i="17"/>
  <c r="H895" i="17" a="1"/>
  <c r="E895" i="17"/>
  <c r="X894" i="17" a="1"/>
  <c r="O894" i="17" s="1" a="1"/>
  <c r="Q894" i="17"/>
  <c r="U894" i="17" s="1"/>
  <c r="W894" i="17" s="1"/>
  <c r="P894" i="17"/>
  <c r="J894" i="17"/>
  <c r="H894" i="17" a="1"/>
  <c r="E894" i="17"/>
  <c r="X893" i="17" a="1"/>
  <c r="O893" i="17" s="1" a="1"/>
  <c r="U893" i="17"/>
  <c r="W893" i="17" s="1"/>
  <c r="P893" i="17"/>
  <c r="H893" i="17" a="1"/>
  <c r="E893" i="17"/>
  <c r="X892" i="17" a="1"/>
  <c r="O892" i="17" s="1" a="1"/>
  <c r="Q892" i="17"/>
  <c r="U892" i="17" s="1"/>
  <c r="W892" i="17" s="1"/>
  <c r="P892" i="17"/>
  <c r="J892" i="17"/>
  <c r="H892" i="17" a="1"/>
  <c r="E892" i="17"/>
  <c r="X891" i="17" a="1"/>
  <c r="O891" i="17" s="1" a="1"/>
  <c r="U891" i="17"/>
  <c r="W891" i="17" s="1"/>
  <c r="P891" i="17"/>
  <c r="H891" i="17" a="1"/>
  <c r="E891" i="17"/>
  <c r="X890" i="17" a="1"/>
  <c r="O890" i="17" s="1" a="1"/>
  <c r="U890" i="17"/>
  <c r="W890" i="17" s="1"/>
  <c r="P890" i="17"/>
  <c r="H890" i="17" a="1"/>
  <c r="E890" i="17"/>
  <c r="X889" i="17" a="1"/>
  <c r="O889" i="17" s="1" a="1"/>
  <c r="U889" i="17"/>
  <c r="W889" i="17" s="1"/>
  <c r="P889" i="17"/>
  <c r="H889" i="17" a="1"/>
  <c r="E889" i="17"/>
  <c r="X888" i="17" a="1"/>
  <c r="O888" i="17" s="1" a="1"/>
  <c r="U888" i="17"/>
  <c r="W888" i="17" s="1"/>
  <c r="P888" i="17"/>
  <c r="H888" i="17" a="1"/>
  <c r="E888" i="17"/>
  <c r="X887" i="17" a="1"/>
  <c r="O887" i="17" s="1" a="1"/>
  <c r="U887" i="17"/>
  <c r="W887" i="17" s="1"/>
  <c r="P887" i="17"/>
  <c r="H887" i="17" a="1"/>
  <c r="E887" i="17"/>
  <c r="X886" i="17" a="1"/>
  <c r="O886" i="17" s="1" a="1"/>
  <c r="U886" i="17"/>
  <c r="W886" i="17" s="1"/>
  <c r="P886" i="17"/>
  <c r="H886" i="17" a="1"/>
  <c r="E886" i="17"/>
  <c r="X885" i="17" a="1"/>
  <c r="O885" i="17" s="1" a="1"/>
  <c r="U885" i="17"/>
  <c r="W885" i="17" s="1"/>
  <c r="P885" i="17"/>
  <c r="H885" i="17" a="1"/>
  <c r="E885" i="17"/>
  <c r="X884" i="17" a="1"/>
  <c r="O884" i="17" s="1" a="1"/>
  <c r="U884" i="17"/>
  <c r="W884" i="17" s="1"/>
  <c r="P884" i="17"/>
  <c r="H884" i="17" a="1"/>
  <c r="E884" i="17"/>
  <c r="X883" i="17" a="1"/>
  <c r="O883" i="17" s="1" a="1"/>
  <c r="U883" i="17"/>
  <c r="W883" i="17" s="1"/>
  <c r="P883" i="17"/>
  <c r="H883" i="17" a="1"/>
  <c r="E883" i="17"/>
  <c r="X882" i="17" a="1"/>
  <c r="O882" i="17" s="1" a="1"/>
  <c r="U882" i="17"/>
  <c r="W882" i="17" s="1"/>
  <c r="P882" i="17"/>
  <c r="H882" i="17" a="1"/>
  <c r="E882" i="17"/>
  <c r="X881" i="17" a="1"/>
  <c r="O881" i="17" s="1" a="1"/>
  <c r="U881" i="17"/>
  <c r="W881" i="17" s="1"/>
  <c r="P881" i="17"/>
  <c r="H881" i="17" a="1"/>
  <c r="E881" i="17"/>
  <c r="X880" i="17" a="1"/>
  <c r="O880" i="17" s="1" a="1"/>
  <c r="T880" i="17"/>
  <c r="U880" i="17" s="1"/>
  <c r="W880" i="17" s="1"/>
  <c r="P880" i="17"/>
  <c r="H880" i="17" a="1"/>
  <c r="E880" i="17"/>
  <c r="X879" i="17" a="1"/>
  <c r="O879" i="17" s="1" a="1"/>
  <c r="U879" i="17"/>
  <c r="W879" i="17" s="1"/>
  <c r="P879" i="17"/>
  <c r="H879" i="17" a="1"/>
  <c r="E879" i="17"/>
  <c r="X878" i="17" a="1"/>
  <c r="O878" i="17" s="1" a="1"/>
  <c r="U878" i="17"/>
  <c r="W878" i="17" s="1"/>
  <c r="P878" i="17"/>
  <c r="H878" i="17" a="1"/>
  <c r="E878" i="17"/>
  <c r="X877" i="17" a="1"/>
  <c r="O877" i="17" s="1" a="1"/>
  <c r="T877" i="17"/>
  <c r="U877" i="17" s="1"/>
  <c r="W877" i="17" s="1"/>
  <c r="P877" i="17"/>
  <c r="H877" i="17" a="1"/>
  <c r="E877" i="17"/>
  <c r="X876" i="17" a="1"/>
  <c r="O876" i="17" s="1" a="1"/>
  <c r="T876" i="17"/>
  <c r="U876" i="17" s="1"/>
  <c r="W876" i="17" s="1"/>
  <c r="P876" i="17"/>
  <c r="H876" i="17" a="1"/>
  <c r="E876" i="17"/>
  <c r="X875" i="17" a="1"/>
  <c r="O875" i="17" s="1" a="1"/>
  <c r="T875" i="17"/>
  <c r="U875" i="17" s="1"/>
  <c r="W875" i="17" s="1"/>
  <c r="P875" i="17"/>
  <c r="H875" i="17" a="1"/>
  <c r="E875" i="17"/>
  <c r="X874" i="17" a="1"/>
  <c r="O874" i="17" s="1" a="1"/>
  <c r="T874" i="17"/>
  <c r="U874" i="17" s="1"/>
  <c r="W874" i="17" s="1"/>
  <c r="P874" i="17"/>
  <c r="H874" i="17" a="1"/>
  <c r="E874" i="17"/>
  <c r="X873" i="17" a="1"/>
  <c r="O873" i="17" s="1" a="1"/>
  <c r="U873" i="17"/>
  <c r="W873" i="17" s="1"/>
  <c r="P873" i="17"/>
  <c r="H873" i="17" a="1"/>
  <c r="E873" i="17"/>
  <c r="X872" i="17" a="1"/>
  <c r="O872" i="17" s="1" a="1"/>
  <c r="T872" i="17"/>
  <c r="U872" i="17" s="1"/>
  <c r="W872" i="17" s="1"/>
  <c r="P872" i="17"/>
  <c r="H872" i="17" a="1"/>
  <c r="E872" i="17"/>
  <c r="X871" i="17" a="1"/>
  <c r="O871" i="17" s="1" a="1"/>
  <c r="U871" i="17"/>
  <c r="W871" i="17" s="1"/>
  <c r="P871" i="17"/>
  <c r="H871" i="17" a="1"/>
  <c r="E871" i="17"/>
  <c r="X870" i="17" a="1"/>
  <c r="O870" i="17" s="1" a="1"/>
  <c r="U870" i="17"/>
  <c r="W870" i="17" s="1"/>
  <c r="P870" i="17"/>
  <c r="H870" i="17" a="1"/>
  <c r="E870" i="17"/>
  <c r="X869" i="17" a="1"/>
  <c r="O869" i="17" s="1" a="1"/>
  <c r="U869" i="17"/>
  <c r="W869" i="17" s="1"/>
  <c r="P869" i="17"/>
  <c r="H869" i="17" a="1"/>
  <c r="E869" i="17"/>
  <c r="X868" i="17" a="1"/>
  <c r="O868" i="17" s="1" a="1"/>
  <c r="U868" i="17"/>
  <c r="W868" i="17" s="1"/>
  <c r="P868" i="17"/>
  <c r="H868" i="17" a="1"/>
  <c r="E868" i="17"/>
  <c r="X867" i="17" a="1"/>
  <c r="O867" i="17" s="1" a="1"/>
  <c r="U867" i="17"/>
  <c r="W867" i="17" s="1"/>
  <c r="P867" i="17"/>
  <c r="H867" i="17" a="1"/>
  <c r="E867" i="17"/>
  <c r="X866" i="17" a="1"/>
  <c r="O866" i="17" s="1" a="1"/>
  <c r="U866" i="17"/>
  <c r="W866" i="17" s="1"/>
  <c r="P866" i="17"/>
  <c r="H866" i="17" a="1"/>
  <c r="E866" i="17"/>
  <c r="X865" i="17" a="1"/>
  <c r="O865" i="17" s="1" a="1"/>
  <c r="U865" i="17"/>
  <c r="W865" i="17" s="1"/>
  <c r="P865" i="17"/>
  <c r="H865" i="17" a="1"/>
  <c r="E865" i="17"/>
  <c r="X864" i="17" a="1"/>
  <c r="O864" i="17" s="1" a="1"/>
  <c r="U864" i="17"/>
  <c r="W864" i="17" s="1"/>
  <c r="P864" i="17"/>
  <c r="H864" i="17" a="1"/>
  <c r="E864" i="17"/>
  <c r="X863" i="17" a="1"/>
  <c r="O863" i="17" s="1" a="1"/>
  <c r="U863" i="17"/>
  <c r="W863" i="17" s="1"/>
  <c r="P863" i="17"/>
  <c r="H863" i="17" a="1"/>
  <c r="E863" i="17"/>
  <c r="X862" i="17" a="1"/>
  <c r="O862" i="17" s="1" a="1"/>
  <c r="U862" i="17"/>
  <c r="W862" i="17" s="1"/>
  <c r="P862" i="17"/>
  <c r="H862" i="17" a="1"/>
  <c r="E862" i="17"/>
  <c r="X861" i="17" a="1"/>
  <c r="O861" i="17" s="1" a="1"/>
  <c r="U861" i="17"/>
  <c r="W861" i="17" s="1"/>
  <c r="P861" i="17"/>
  <c r="H861" i="17" a="1"/>
  <c r="E861" i="17"/>
  <c r="X860" i="17" a="1"/>
  <c r="O860" i="17" s="1" a="1"/>
  <c r="U860" i="17"/>
  <c r="W860" i="17" s="1"/>
  <c r="P860" i="17"/>
  <c r="H860" i="17" a="1"/>
  <c r="E860" i="17"/>
  <c r="X859" i="17" a="1"/>
  <c r="O859" i="17" s="1" a="1"/>
  <c r="U859" i="17"/>
  <c r="W859" i="17" s="1"/>
  <c r="P859" i="17"/>
  <c r="H859" i="17" a="1"/>
  <c r="E859" i="17"/>
  <c r="X858" i="17" a="1"/>
  <c r="O858" i="17" s="1" a="1"/>
  <c r="U858" i="17"/>
  <c r="W858" i="17" s="1"/>
  <c r="P858" i="17"/>
  <c r="H858" i="17" a="1"/>
  <c r="E858" i="17"/>
  <c r="X857" i="17" a="1"/>
  <c r="O857" i="17" s="1" a="1"/>
  <c r="U857" i="17"/>
  <c r="W857" i="17" s="1"/>
  <c r="P857" i="17"/>
  <c r="H857" i="17" a="1"/>
  <c r="E857" i="17"/>
  <c r="X856" i="17" a="1"/>
  <c r="O856" i="17" s="1" a="1"/>
  <c r="U856" i="17"/>
  <c r="W856" i="17" s="1"/>
  <c r="P856" i="17"/>
  <c r="H856" i="17" a="1"/>
  <c r="E856" i="17"/>
  <c r="X855" i="17" a="1"/>
  <c r="O855" i="17" s="1" a="1"/>
  <c r="U855" i="17"/>
  <c r="W855" i="17" s="1"/>
  <c r="P855" i="17"/>
  <c r="H855" i="17" a="1"/>
  <c r="E855" i="17"/>
  <c r="X854" i="17" a="1"/>
  <c r="O854" i="17" s="1" a="1"/>
  <c r="U854" i="17"/>
  <c r="W854" i="17" s="1"/>
  <c r="P854" i="17"/>
  <c r="H854" i="17" a="1"/>
  <c r="E854" i="17"/>
  <c r="X853" i="17" a="1"/>
  <c r="O853" i="17" s="1" a="1"/>
  <c r="U853" i="17"/>
  <c r="W853" i="17" s="1"/>
  <c r="P853" i="17"/>
  <c r="H853" i="17" a="1"/>
  <c r="E853" i="17"/>
  <c r="X852" i="17" a="1"/>
  <c r="O852" i="17" s="1" a="1"/>
  <c r="U852" i="17"/>
  <c r="W852" i="17" s="1"/>
  <c r="P852" i="17"/>
  <c r="H852" i="17" a="1"/>
  <c r="E852" i="17"/>
  <c r="X851" i="17" a="1"/>
  <c r="O851" i="17" s="1" a="1"/>
  <c r="U851" i="17"/>
  <c r="W851" i="17" s="1"/>
  <c r="P851" i="17"/>
  <c r="H851" i="17" a="1"/>
  <c r="E851" i="17"/>
  <c r="X850" i="17" a="1"/>
  <c r="O850" i="17" s="1" a="1"/>
  <c r="U850" i="17"/>
  <c r="W850" i="17" s="1"/>
  <c r="P850" i="17"/>
  <c r="H850" i="17" a="1"/>
  <c r="E850" i="17"/>
  <c r="X849" i="17" a="1"/>
  <c r="O849" i="17" s="1" a="1"/>
  <c r="U849" i="17"/>
  <c r="W849" i="17" s="1"/>
  <c r="P849" i="17"/>
  <c r="H849" i="17" a="1"/>
  <c r="E849" i="17"/>
  <c r="X848" i="17" a="1"/>
  <c r="O848" i="17" s="1" a="1"/>
  <c r="U848" i="17"/>
  <c r="W848" i="17" s="1"/>
  <c r="P848" i="17"/>
  <c r="H848" i="17" a="1"/>
  <c r="E848" i="17"/>
  <c r="X847" i="17" a="1"/>
  <c r="O847" i="17" s="1" a="1"/>
  <c r="U847" i="17"/>
  <c r="W847" i="17" s="1"/>
  <c r="P847" i="17"/>
  <c r="H847" i="17" a="1"/>
  <c r="E847" i="17"/>
  <c r="X846" i="17" a="1"/>
  <c r="O846" i="17" s="1" a="1"/>
  <c r="U846" i="17"/>
  <c r="W846" i="17" s="1"/>
  <c r="P846" i="17"/>
  <c r="H846" i="17" a="1"/>
  <c r="E846" i="17"/>
  <c r="X845" i="17" a="1"/>
  <c r="O845" i="17" s="1" a="1"/>
  <c r="U845" i="17"/>
  <c r="W845" i="17" s="1"/>
  <c r="P845" i="17"/>
  <c r="H845" i="17" a="1"/>
  <c r="E845" i="17"/>
  <c r="X844" i="17" a="1"/>
  <c r="O844" i="17" s="1" a="1"/>
  <c r="U844" i="17"/>
  <c r="W844" i="17" s="1"/>
  <c r="P844" i="17"/>
  <c r="H844" i="17" a="1"/>
  <c r="E844" i="17"/>
  <c r="X843" i="17" a="1"/>
  <c r="O843" i="17" s="1" a="1"/>
  <c r="U843" i="17"/>
  <c r="W843" i="17" s="1"/>
  <c r="P843" i="17"/>
  <c r="H843" i="17" a="1"/>
  <c r="E843" i="17"/>
  <c r="X842" i="17" a="1"/>
  <c r="O842" i="17" s="1" a="1"/>
  <c r="U842" i="17"/>
  <c r="W842" i="17" s="1"/>
  <c r="P842" i="17"/>
  <c r="H842" i="17" a="1"/>
  <c r="E842" i="17"/>
  <c r="X841" i="17" a="1"/>
  <c r="O841" i="17" s="1" a="1"/>
  <c r="U841" i="17"/>
  <c r="W841" i="17" s="1"/>
  <c r="P841" i="17"/>
  <c r="H841" i="17" a="1"/>
  <c r="E841" i="17"/>
  <c r="X840" i="17" a="1"/>
  <c r="O840" i="17" s="1" a="1"/>
  <c r="U840" i="17"/>
  <c r="W840" i="17" s="1"/>
  <c r="P840" i="17"/>
  <c r="H840" i="17" a="1"/>
  <c r="E840" i="17"/>
  <c r="X839" i="17" a="1"/>
  <c r="O839" i="17" s="1" a="1"/>
  <c r="U839" i="17"/>
  <c r="W839" i="17" s="1"/>
  <c r="P839" i="17"/>
  <c r="H839" i="17" a="1"/>
  <c r="E839" i="17"/>
  <c r="X838" i="17" a="1"/>
  <c r="O838" i="17" s="1" a="1"/>
  <c r="U838" i="17"/>
  <c r="W838" i="17" s="1"/>
  <c r="P838" i="17"/>
  <c r="H838" i="17" a="1"/>
  <c r="E838" i="17"/>
  <c r="X837" i="17" a="1"/>
  <c r="O837" i="17" s="1" a="1"/>
  <c r="U837" i="17"/>
  <c r="W837" i="17" s="1"/>
  <c r="P837" i="17"/>
  <c r="H837" i="17" a="1"/>
  <c r="E837" i="17"/>
  <c r="X836" i="17" a="1"/>
  <c r="O836" i="17" s="1" a="1"/>
  <c r="U836" i="17"/>
  <c r="W836" i="17" s="1"/>
  <c r="P836" i="17"/>
  <c r="H836" i="17" a="1"/>
  <c r="E836" i="17"/>
  <c r="X835" i="17" a="1"/>
  <c r="O835" i="17" s="1" a="1"/>
  <c r="U835" i="17"/>
  <c r="W835" i="17" s="1"/>
  <c r="P835" i="17"/>
  <c r="H835" i="17" a="1"/>
  <c r="E835" i="17"/>
  <c r="X834" i="17" a="1"/>
  <c r="O834" i="17" s="1" a="1"/>
  <c r="U834" i="17"/>
  <c r="W834" i="17" s="1"/>
  <c r="P834" i="17"/>
  <c r="H834" i="17" a="1"/>
  <c r="E834" i="17"/>
  <c r="Y833" i="17"/>
  <c r="X833" i="17" a="1"/>
  <c r="O833" i="17" s="1" a="1"/>
  <c r="Q833" i="17"/>
  <c r="U833" i="17" s="1"/>
  <c r="W833" i="17" s="1"/>
  <c r="P833" i="17"/>
  <c r="J833" i="17"/>
  <c r="H833" i="17" a="1"/>
  <c r="E833" i="17"/>
  <c r="X832" i="17" a="1"/>
  <c r="O832" i="17" s="1" a="1"/>
  <c r="U832" i="17"/>
  <c r="W832" i="17" s="1"/>
  <c r="R832" i="17"/>
  <c r="P832" i="17"/>
  <c r="J832" i="17"/>
  <c r="H832" i="17" a="1"/>
  <c r="E832" i="17"/>
  <c r="X831" i="17" a="1"/>
  <c r="O831" i="17" s="1" a="1"/>
  <c r="U831" i="17"/>
  <c r="W831" i="17" s="1"/>
  <c r="P831" i="17"/>
  <c r="H831" i="17" a="1"/>
  <c r="E831" i="17"/>
  <c r="X830" i="17" a="1"/>
  <c r="O830" i="17" s="1" a="1"/>
  <c r="U830" i="17"/>
  <c r="W830" i="17" s="1"/>
  <c r="P830" i="17"/>
  <c r="H830" i="17" a="1"/>
  <c r="E830" i="17"/>
  <c r="X829" i="17" a="1"/>
  <c r="O829" i="17" s="1" a="1"/>
  <c r="U829" i="17"/>
  <c r="W829" i="17" s="1"/>
  <c r="P829" i="17"/>
  <c r="H829" i="17" a="1"/>
  <c r="E829" i="17"/>
  <c r="X828" i="17" a="1"/>
  <c r="O828" i="17" s="1" a="1"/>
  <c r="U828" i="17"/>
  <c r="W828" i="17" s="1"/>
  <c r="P828" i="17"/>
  <c r="H828" i="17" a="1"/>
  <c r="E828" i="17"/>
  <c r="X827" i="17" a="1"/>
  <c r="O827" i="17" s="1" a="1"/>
  <c r="U827" i="17"/>
  <c r="W827" i="17" s="1"/>
  <c r="P827" i="17"/>
  <c r="H827" i="17" a="1"/>
  <c r="E827" i="17"/>
  <c r="X826" i="17" a="1"/>
  <c r="O826" i="17" s="1" a="1"/>
  <c r="U826" i="17"/>
  <c r="W826" i="17" s="1"/>
  <c r="P826" i="17"/>
  <c r="H826" i="17" a="1"/>
  <c r="E826" i="17"/>
  <c r="X825" i="17" a="1"/>
  <c r="O825" i="17" s="1" a="1"/>
  <c r="U825" i="17"/>
  <c r="W825" i="17" s="1"/>
  <c r="P825" i="17"/>
  <c r="H825" i="17" a="1"/>
  <c r="E825" i="17"/>
  <c r="X824" i="17" a="1"/>
  <c r="O824" i="17" s="1" a="1"/>
  <c r="U824" i="17"/>
  <c r="W824" i="17" s="1"/>
  <c r="R824" i="17"/>
  <c r="P824" i="17"/>
  <c r="H824" i="17" a="1"/>
  <c r="E824" i="17"/>
  <c r="X823" i="17" a="1"/>
  <c r="O823" i="17" s="1" a="1"/>
  <c r="U823" i="17"/>
  <c r="W823" i="17" s="1"/>
  <c r="P823" i="17"/>
  <c r="H823" i="17" a="1"/>
  <c r="E823" i="17"/>
  <c r="X822" i="17" a="1"/>
  <c r="O822" i="17" s="1" a="1"/>
  <c r="Q822" i="17"/>
  <c r="U822" i="17" s="1"/>
  <c r="W822" i="17" s="1"/>
  <c r="P822" i="17"/>
  <c r="H822" i="17" a="1"/>
  <c r="E822" i="17"/>
  <c r="X821" i="17" a="1"/>
  <c r="O821" i="17" s="1" a="1"/>
  <c r="U821" i="17"/>
  <c r="W821" i="17" s="1"/>
  <c r="P821" i="17"/>
  <c r="H821" i="17" a="1"/>
  <c r="E821" i="17"/>
  <c r="X820" i="17" a="1"/>
  <c r="O820" i="17" s="1" a="1"/>
  <c r="U820" i="17"/>
  <c r="W820" i="17" s="1"/>
  <c r="P820" i="17"/>
  <c r="H820" i="17" a="1"/>
  <c r="E820" i="17"/>
  <c r="X819" i="17" a="1"/>
  <c r="O819" i="17" s="1" a="1"/>
  <c r="U819" i="17"/>
  <c r="W819" i="17" s="1"/>
  <c r="P819" i="17"/>
  <c r="H819" i="17" a="1"/>
  <c r="E819" i="17"/>
  <c r="X818" i="17" a="1"/>
  <c r="O818" i="17" s="1" a="1"/>
  <c r="U818" i="17"/>
  <c r="W818" i="17" s="1"/>
  <c r="P818" i="17"/>
  <c r="H818" i="17" a="1"/>
  <c r="E818" i="17"/>
  <c r="X817" i="17" a="1"/>
  <c r="O817" i="17" s="1" a="1"/>
  <c r="Q817" i="17"/>
  <c r="U817" i="17" s="1"/>
  <c r="W817" i="17" s="1"/>
  <c r="P817" i="17"/>
  <c r="J817" i="17"/>
  <c r="H817" i="17" a="1"/>
  <c r="E817" i="17"/>
  <c r="X816" i="17" a="1"/>
  <c r="O816" i="17" s="1" a="1"/>
  <c r="Q816" i="17"/>
  <c r="U816" i="17" s="1"/>
  <c r="W816" i="17" s="1"/>
  <c r="P816" i="17"/>
  <c r="J816" i="17"/>
  <c r="H816" i="17" a="1"/>
  <c r="E816" i="17"/>
  <c r="X815" i="17" a="1"/>
  <c r="O815" i="17" s="1" a="1"/>
  <c r="U815" i="17"/>
  <c r="W815" i="17" s="1"/>
  <c r="P815" i="17"/>
  <c r="J815" i="17"/>
  <c r="H815" i="17" a="1"/>
  <c r="E815" i="17"/>
  <c r="X814" i="17" a="1"/>
  <c r="O814" i="17" s="1" a="1"/>
  <c r="U814" i="17"/>
  <c r="W814" i="17" s="1"/>
  <c r="P814" i="17"/>
  <c r="H814" i="17" a="1"/>
  <c r="E814" i="17"/>
  <c r="X813" i="17" a="1"/>
  <c r="O813" i="17" s="1" a="1"/>
  <c r="U813" i="17"/>
  <c r="W813" i="17" s="1"/>
  <c r="P813" i="17"/>
  <c r="H813" i="17" a="1"/>
  <c r="E813" i="17"/>
  <c r="X812" i="17" a="1"/>
  <c r="O812" i="17" s="1" a="1"/>
  <c r="U812" i="17"/>
  <c r="W812" i="17" s="1"/>
  <c r="P812" i="17"/>
  <c r="H812" i="17" a="1"/>
  <c r="E812" i="17"/>
  <c r="X811" i="17" a="1"/>
  <c r="O811" i="17" s="1" a="1"/>
  <c r="U811" i="17"/>
  <c r="W811" i="17" s="1"/>
  <c r="P811" i="17"/>
  <c r="H811" i="17" a="1"/>
  <c r="E811" i="17"/>
  <c r="X810" i="17" a="1"/>
  <c r="O810" i="17" s="1" a="1"/>
  <c r="U810" i="17"/>
  <c r="W810" i="17" s="1"/>
  <c r="P810" i="17"/>
  <c r="H810" i="17" a="1"/>
  <c r="E810" i="17"/>
  <c r="X809" i="17" a="1"/>
  <c r="O809" i="17" s="1" a="1"/>
  <c r="U809" i="17"/>
  <c r="W809" i="17" s="1"/>
  <c r="P809" i="17"/>
  <c r="H809" i="17" a="1"/>
  <c r="E809" i="17"/>
  <c r="X808" i="17" a="1"/>
  <c r="O808" i="17" s="1" a="1"/>
  <c r="U808" i="17"/>
  <c r="W808" i="17" s="1"/>
  <c r="P808" i="17"/>
  <c r="H808" i="17" a="1"/>
  <c r="E808" i="17"/>
  <c r="X807" i="17" a="1"/>
  <c r="O807" i="17" s="1" a="1"/>
  <c r="U807" i="17"/>
  <c r="W807" i="17" s="1"/>
  <c r="P807" i="17"/>
  <c r="H807" i="17" a="1"/>
  <c r="E807" i="17"/>
  <c r="X806" i="17" a="1"/>
  <c r="O806" i="17" s="1" a="1"/>
  <c r="U806" i="17"/>
  <c r="W806" i="17" s="1"/>
  <c r="P806" i="17"/>
  <c r="H806" i="17" a="1"/>
  <c r="E806" i="17"/>
  <c r="X805" i="17" a="1"/>
  <c r="O805" i="17" s="1" a="1"/>
  <c r="U805" i="17"/>
  <c r="W805" i="17" s="1"/>
  <c r="P805" i="17"/>
  <c r="H805" i="17" a="1"/>
  <c r="E805" i="17"/>
  <c r="X804" i="17" a="1"/>
  <c r="O804" i="17" s="1" a="1"/>
  <c r="U804" i="17"/>
  <c r="W804" i="17" s="1"/>
  <c r="P804" i="17"/>
  <c r="H804" i="17" a="1"/>
  <c r="E804" i="17"/>
  <c r="X803" i="17" a="1"/>
  <c r="O803" i="17" s="1" a="1"/>
  <c r="U803" i="17"/>
  <c r="W803" i="17" s="1"/>
  <c r="P803" i="17"/>
  <c r="H803" i="17" a="1"/>
  <c r="E803" i="17"/>
  <c r="X802" i="17" a="1"/>
  <c r="O802" i="17" s="1" a="1"/>
  <c r="U802" i="17"/>
  <c r="W802" i="17" s="1"/>
  <c r="P802" i="17"/>
  <c r="H802" i="17" a="1"/>
  <c r="E802" i="17"/>
  <c r="X801" i="17" a="1"/>
  <c r="O801" i="17" s="1" a="1"/>
  <c r="U801" i="17"/>
  <c r="W801" i="17" s="1"/>
  <c r="P801" i="17"/>
  <c r="H801" i="17" a="1"/>
  <c r="E801" i="17"/>
  <c r="X800" i="17" a="1"/>
  <c r="O800" i="17" s="1" a="1"/>
  <c r="U800" i="17"/>
  <c r="W800" i="17" s="1"/>
  <c r="P800" i="17"/>
  <c r="H800" i="17" a="1"/>
  <c r="E800" i="17"/>
  <c r="X799" i="17" a="1"/>
  <c r="O799" i="17" s="1" a="1"/>
  <c r="U799" i="17"/>
  <c r="W799" i="17" s="1"/>
  <c r="P799" i="17"/>
  <c r="H799" i="17" a="1"/>
  <c r="E799" i="17"/>
  <c r="X798" i="17" a="1"/>
  <c r="O798" i="17" s="1" a="1"/>
  <c r="U798" i="17"/>
  <c r="W798" i="17" s="1"/>
  <c r="P798" i="17"/>
  <c r="H798" i="17" a="1"/>
  <c r="E798" i="17"/>
  <c r="X797" i="17" a="1"/>
  <c r="O797" i="17" s="1" a="1"/>
  <c r="U797" i="17"/>
  <c r="W797" i="17" s="1"/>
  <c r="P797" i="17"/>
  <c r="H797" i="17" a="1"/>
  <c r="E797" i="17"/>
  <c r="X796" i="17" a="1"/>
  <c r="O796" i="17" s="1" a="1"/>
  <c r="U796" i="17"/>
  <c r="W796" i="17" s="1"/>
  <c r="P796" i="17"/>
  <c r="H796" i="17" a="1"/>
  <c r="E796" i="17"/>
  <c r="X795" i="17" a="1"/>
  <c r="O795" i="17" s="1" a="1"/>
  <c r="U795" i="17"/>
  <c r="W795" i="17" s="1"/>
  <c r="P795" i="17"/>
  <c r="H795" i="17" a="1"/>
  <c r="E795" i="17"/>
  <c r="X794" i="17" a="1"/>
  <c r="O794" i="17" s="1" a="1"/>
  <c r="U794" i="17"/>
  <c r="W794" i="17" s="1"/>
  <c r="P794" i="17"/>
  <c r="H794" i="17" a="1"/>
  <c r="E794" i="17"/>
  <c r="X793" i="17" a="1"/>
  <c r="O793" i="17" s="1" a="1"/>
  <c r="U793" i="17"/>
  <c r="W793" i="17" s="1"/>
  <c r="S793" i="17"/>
  <c r="M793" i="17" s="1" a="1"/>
  <c r="N793" i="17" s="1"/>
  <c r="P793" i="17"/>
  <c r="H793" i="17" a="1"/>
  <c r="E793" i="17"/>
  <c r="X792" i="17" a="1"/>
  <c r="O792" i="17" s="1" a="1"/>
  <c r="T792" i="17"/>
  <c r="Q792" i="17"/>
  <c r="P792" i="17"/>
  <c r="H792" i="17" a="1"/>
  <c r="E792" i="17"/>
  <c r="X791" i="17" a="1"/>
  <c r="O791" i="17" s="1" a="1"/>
  <c r="U791" i="17"/>
  <c r="W791" i="17" s="1"/>
  <c r="P791" i="17"/>
  <c r="H791" i="17" a="1"/>
  <c r="E791" i="17"/>
  <c r="X790" i="17" a="1"/>
  <c r="O790" i="17" s="1" a="1"/>
  <c r="U790" i="17"/>
  <c r="W790" i="17" s="1"/>
  <c r="P790" i="17"/>
  <c r="H790" i="17" a="1"/>
  <c r="E790" i="17"/>
  <c r="X789" i="17" a="1"/>
  <c r="O789" i="17" s="1" a="1"/>
  <c r="U789" i="17"/>
  <c r="W789" i="17" s="1"/>
  <c r="P789" i="17"/>
  <c r="H789" i="17" a="1"/>
  <c r="E789" i="17"/>
  <c r="X788" i="17" a="1"/>
  <c r="O788" i="17" s="1" a="1"/>
  <c r="U788" i="17"/>
  <c r="W788" i="17" s="1"/>
  <c r="P788" i="17"/>
  <c r="J788" i="17"/>
  <c r="H788" i="17" a="1"/>
  <c r="E788" i="17"/>
  <c r="X787" i="17" a="1"/>
  <c r="O787" i="17" s="1" a="1"/>
  <c r="U787" i="17"/>
  <c r="W787" i="17" s="1"/>
  <c r="P787" i="17"/>
  <c r="H787" i="17" a="1"/>
  <c r="E787" i="17"/>
  <c r="X786" i="17" a="1"/>
  <c r="O786" i="17" s="1" a="1"/>
  <c r="U786" i="17"/>
  <c r="W786" i="17" s="1"/>
  <c r="P786" i="17"/>
  <c r="J786" i="17"/>
  <c r="H786" i="17" a="1"/>
  <c r="E786" i="17"/>
  <c r="X785" i="17" a="1"/>
  <c r="O785" i="17" s="1" a="1"/>
  <c r="U785" i="17"/>
  <c r="W785" i="17" s="1"/>
  <c r="P785" i="17"/>
  <c r="J785" i="17"/>
  <c r="H785" i="17" a="1"/>
  <c r="E785" i="17"/>
  <c r="X784" i="17" a="1"/>
  <c r="O784" i="17" s="1" a="1"/>
  <c r="U784" i="17"/>
  <c r="W784" i="17" s="1"/>
  <c r="P784" i="17"/>
  <c r="H784" i="17" a="1"/>
  <c r="E784" i="17"/>
  <c r="X783" i="17" a="1"/>
  <c r="O783" i="17" s="1" a="1"/>
  <c r="U783" i="17"/>
  <c r="W783" i="17" s="1"/>
  <c r="P783" i="17"/>
  <c r="H783" i="17" a="1"/>
  <c r="E783" i="17"/>
  <c r="X782" i="17" a="1"/>
  <c r="O782" i="17" s="1" a="1"/>
  <c r="U782" i="17"/>
  <c r="W782" i="17" s="1"/>
  <c r="P782" i="17"/>
  <c r="H782" i="17" a="1"/>
  <c r="E782" i="17"/>
  <c r="X781" i="17" a="1"/>
  <c r="O781" i="17" s="1" a="1"/>
  <c r="U781" i="17"/>
  <c r="W781" i="17" s="1"/>
  <c r="P781" i="17"/>
  <c r="H781" i="17" a="1"/>
  <c r="E781" i="17"/>
  <c r="X780" i="17" a="1"/>
  <c r="O780" i="17" s="1" a="1"/>
  <c r="U780" i="17"/>
  <c r="W780" i="17" s="1"/>
  <c r="P780" i="17"/>
  <c r="H780" i="17" a="1"/>
  <c r="E780" i="17"/>
  <c r="X779" i="17" a="1"/>
  <c r="O779" i="17" s="1" a="1"/>
  <c r="U779" i="17"/>
  <c r="W779" i="17" s="1"/>
  <c r="P779" i="17"/>
  <c r="J779" i="17"/>
  <c r="H779" i="17" a="1"/>
  <c r="E779" i="17"/>
  <c r="X778" i="17" a="1"/>
  <c r="O778" i="17" s="1" a="1"/>
  <c r="U778" i="17"/>
  <c r="W778" i="17" s="1"/>
  <c r="P778" i="17"/>
  <c r="H778" i="17" a="1"/>
  <c r="E778" i="17"/>
  <c r="X777" i="17" a="1"/>
  <c r="O777" i="17" s="1" a="1"/>
  <c r="U777" i="17"/>
  <c r="W777" i="17" s="1"/>
  <c r="P777" i="17"/>
  <c r="H777" i="17" a="1"/>
  <c r="E777" i="17"/>
  <c r="X776" i="17" a="1"/>
  <c r="O776" i="17" s="1" a="1"/>
  <c r="U776" i="17"/>
  <c r="W776" i="17" s="1"/>
  <c r="P776" i="17"/>
  <c r="H776" i="17" a="1"/>
  <c r="E776" i="17"/>
  <c r="X775" i="17" a="1"/>
  <c r="O775" i="17" s="1" a="1"/>
  <c r="U775" i="17"/>
  <c r="W775" i="17" s="1"/>
  <c r="P775" i="17"/>
  <c r="J775" i="17"/>
  <c r="H775" i="17" a="1"/>
  <c r="E775" i="17"/>
  <c r="X774" i="17" a="1"/>
  <c r="O774" i="17" s="1" a="1"/>
  <c r="U774" i="17"/>
  <c r="W774" i="17" s="1"/>
  <c r="P774" i="17"/>
  <c r="H774" i="17" a="1"/>
  <c r="E774" i="17"/>
  <c r="X773" i="17" a="1"/>
  <c r="O773" i="17" s="1" a="1"/>
  <c r="U773" i="17"/>
  <c r="W773" i="17" s="1"/>
  <c r="P773" i="17"/>
  <c r="H773" i="17" a="1"/>
  <c r="E773" i="17"/>
  <c r="X772" i="17" a="1"/>
  <c r="O772" i="17" s="1" a="1"/>
  <c r="U772" i="17"/>
  <c r="W772" i="17" s="1"/>
  <c r="P772" i="17"/>
  <c r="H772" i="17" a="1"/>
  <c r="E772" i="17"/>
  <c r="X771" i="17" a="1"/>
  <c r="O771" i="17" s="1" a="1"/>
  <c r="U771" i="17"/>
  <c r="W771" i="17" s="1"/>
  <c r="P771" i="17"/>
  <c r="H771" i="17" a="1"/>
  <c r="E771" i="17"/>
  <c r="X770" i="17" a="1"/>
  <c r="O770" i="17" s="1" a="1"/>
  <c r="U770" i="17"/>
  <c r="W770" i="17" s="1"/>
  <c r="P770" i="17"/>
  <c r="H770" i="17" a="1"/>
  <c r="E770" i="17"/>
  <c r="X769" i="17" a="1"/>
  <c r="O769" i="17" s="1" a="1"/>
  <c r="U769" i="17"/>
  <c r="W769" i="17" s="1"/>
  <c r="P769" i="17"/>
  <c r="H769" i="17" a="1"/>
  <c r="E769" i="17"/>
  <c r="X768" i="17" a="1"/>
  <c r="O768" i="17" s="1" a="1"/>
  <c r="U768" i="17"/>
  <c r="W768" i="17" s="1"/>
  <c r="P768" i="17"/>
  <c r="H768" i="17" a="1"/>
  <c r="E768" i="17"/>
  <c r="X767" i="17" a="1"/>
  <c r="O767" i="17" s="1" a="1"/>
  <c r="U767" i="17"/>
  <c r="W767" i="17" s="1"/>
  <c r="P767" i="17"/>
  <c r="H767" i="17" a="1"/>
  <c r="E767" i="17"/>
  <c r="X766" i="17" a="1"/>
  <c r="O766" i="17" s="1" a="1"/>
  <c r="U766" i="17"/>
  <c r="W766" i="17" s="1"/>
  <c r="P766" i="17"/>
  <c r="H766" i="17" a="1"/>
  <c r="E766" i="17"/>
  <c r="X765" i="17" a="1"/>
  <c r="O765" i="17" s="1" a="1"/>
  <c r="U765" i="17"/>
  <c r="W765" i="17" s="1"/>
  <c r="P765" i="17"/>
  <c r="H765" i="17" a="1"/>
  <c r="E765" i="17"/>
  <c r="X764" i="17" a="1"/>
  <c r="O764" i="17" s="1" a="1"/>
  <c r="U764" i="17"/>
  <c r="W764" i="17" s="1"/>
  <c r="P764" i="17"/>
  <c r="H764" i="17" a="1"/>
  <c r="E764" i="17"/>
  <c r="X763" i="17" a="1"/>
  <c r="O763" i="17" s="1" a="1"/>
  <c r="U763" i="17"/>
  <c r="W763" i="17" s="1"/>
  <c r="P763" i="17"/>
  <c r="H763" i="17" a="1"/>
  <c r="E763" i="17"/>
  <c r="X762" i="17" a="1"/>
  <c r="O762" i="17" s="1" a="1"/>
  <c r="U762" i="17"/>
  <c r="W762" i="17" s="1"/>
  <c r="P762" i="17"/>
  <c r="H762" i="17" a="1"/>
  <c r="E762" i="17"/>
  <c r="X761" i="17" a="1"/>
  <c r="O761" i="17" s="1" a="1"/>
  <c r="U761" i="17"/>
  <c r="W761" i="17" s="1"/>
  <c r="P761" i="17"/>
  <c r="H761" i="17" a="1"/>
  <c r="E761" i="17"/>
  <c r="X760" i="17" a="1"/>
  <c r="O760" i="17" s="1" a="1"/>
  <c r="U760" i="17"/>
  <c r="W760" i="17" s="1"/>
  <c r="P760" i="17"/>
  <c r="H760" i="17" a="1"/>
  <c r="E760" i="17"/>
  <c r="X759" i="17" a="1"/>
  <c r="O759" i="17" s="1" a="1"/>
  <c r="U759" i="17"/>
  <c r="W759" i="17" s="1"/>
  <c r="P759" i="17"/>
  <c r="H759" i="17" a="1"/>
  <c r="E759" i="17"/>
  <c r="X758" i="17" a="1"/>
  <c r="O758" i="17" s="1" a="1"/>
  <c r="U758" i="17"/>
  <c r="W758" i="17" s="1"/>
  <c r="P758" i="17"/>
  <c r="H758" i="17" a="1"/>
  <c r="E758" i="17"/>
  <c r="X757" i="17" a="1"/>
  <c r="O757" i="17" s="1" a="1"/>
  <c r="U757" i="17"/>
  <c r="W757" i="17" s="1"/>
  <c r="P757" i="17"/>
  <c r="H757" i="17" a="1"/>
  <c r="E757" i="17"/>
  <c r="X756" i="17" a="1"/>
  <c r="O756" i="17" s="1" a="1"/>
  <c r="U756" i="17"/>
  <c r="W756" i="17" s="1"/>
  <c r="P756" i="17"/>
  <c r="H756" i="17" a="1"/>
  <c r="E756" i="17"/>
  <c r="X755" i="17" a="1"/>
  <c r="O755" i="17" s="1" a="1"/>
  <c r="U755" i="17"/>
  <c r="W755" i="17" s="1"/>
  <c r="P755" i="17"/>
  <c r="H755" i="17" a="1"/>
  <c r="E755" i="17"/>
  <c r="X754" i="17" a="1"/>
  <c r="O754" i="17" s="1" a="1"/>
  <c r="Q754" i="17"/>
  <c r="U754" i="17" s="1"/>
  <c r="W754" i="17" s="1"/>
  <c r="P754" i="17"/>
  <c r="H754" i="17" a="1"/>
  <c r="E754" i="17"/>
  <c r="X753" i="17" a="1"/>
  <c r="O753" i="17" s="1" a="1"/>
  <c r="U753" i="17"/>
  <c r="W753" i="17" s="1"/>
  <c r="P753" i="17"/>
  <c r="H753" i="17" a="1"/>
  <c r="E753" i="17"/>
  <c r="X752" i="17" a="1"/>
  <c r="O752" i="17" s="1" a="1"/>
  <c r="U752" i="17"/>
  <c r="W752" i="17" s="1"/>
  <c r="P752" i="17"/>
  <c r="H752" i="17" a="1"/>
  <c r="E752" i="17"/>
  <c r="X751" i="17" a="1"/>
  <c r="O751" i="17" s="1" a="1"/>
  <c r="U751" i="17"/>
  <c r="W751" i="17" s="1"/>
  <c r="P751" i="17"/>
  <c r="H751" i="17" a="1"/>
  <c r="E751" i="17"/>
  <c r="X750" i="17" a="1"/>
  <c r="O750" i="17" s="1" a="1"/>
  <c r="U750" i="17"/>
  <c r="W750" i="17" s="1"/>
  <c r="P750" i="17"/>
  <c r="H750" i="17" a="1"/>
  <c r="E750" i="17"/>
  <c r="X749" i="17" a="1"/>
  <c r="O749" i="17" s="1" a="1"/>
  <c r="U749" i="17"/>
  <c r="W749" i="17" s="1"/>
  <c r="P749" i="17"/>
  <c r="H749" i="17" a="1"/>
  <c r="E749" i="17"/>
  <c r="X748" i="17" a="1"/>
  <c r="O748" i="17" s="1" a="1"/>
  <c r="U748" i="17"/>
  <c r="W748" i="17" s="1"/>
  <c r="P748" i="17"/>
  <c r="H748" i="17" a="1"/>
  <c r="E748" i="17"/>
  <c r="X747" i="17" a="1"/>
  <c r="O747" i="17" s="1" a="1"/>
  <c r="U747" i="17"/>
  <c r="W747" i="17" s="1"/>
  <c r="P747" i="17"/>
  <c r="H747" i="17" a="1"/>
  <c r="E747" i="17"/>
  <c r="X746" i="17" a="1"/>
  <c r="O746" i="17" s="1" a="1"/>
  <c r="U746" i="17"/>
  <c r="W746" i="17" s="1"/>
  <c r="P746" i="17"/>
  <c r="H746" i="17" a="1"/>
  <c r="E746" i="17"/>
  <c r="X745" i="17" a="1"/>
  <c r="O745" i="17" s="1" a="1"/>
  <c r="U745" i="17"/>
  <c r="W745" i="17" s="1"/>
  <c r="P745" i="17"/>
  <c r="H745" i="17" a="1"/>
  <c r="E745" i="17"/>
  <c r="X744" i="17" a="1"/>
  <c r="O744" i="17" s="1" a="1"/>
  <c r="U744" i="17"/>
  <c r="W744" i="17" s="1"/>
  <c r="P744" i="17"/>
  <c r="H744" i="17" a="1"/>
  <c r="E744" i="17"/>
  <c r="X743" i="17" a="1"/>
  <c r="O743" i="17" s="1" a="1"/>
  <c r="U743" i="17"/>
  <c r="W743" i="17" s="1"/>
  <c r="P743" i="17"/>
  <c r="H743" i="17" a="1"/>
  <c r="E743" i="17"/>
  <c r="X742" i="17" a="1"/>
  <c r="O742" i="17" s="1" a="1"/>
  <c r="U742" i="17"/>
  <c r="W742" i="17" s="1"/>
  <c r="P742" i="17"/>
  <c r="H742" i="17" a="1"/>
  <c r="E742" i="17"/>
  <c r="X741" i="17" a="1"/>
  <c r="O741" i="17" s="1" a="1"/>
  <c r="U741" i="17"/>
  <c r="W741" i="17" s="1"/>
  <c r="P741" i="17"/>
  <c r="H741" i="17" a="1"/>
  <c r="E741" i="17"/>
  <c r="X740" i="17" a="1"/>
  <c r="O740" i="17" s="1" a="1"/>
  <c r="U740" i="17"/>
  <c r="W740" i="17" s="1"/>
  <c r="P740" i="17"/>
  <c r="H740" i="17" a="1"/>
  <c r="E740" i="17"/>
  <c r="X739" i="17" a="1"/>
  <c r="O739" i="17" s="1" a="1"/>
  <c r="U739" i="17"/>
  <c r="W739" i="17" s="1"/>
  <c r="P739" i="17"/>
  <c r="H739" i="17" a="1"/>
  <c r="E739" i="17"/>
  <c r="X738" i="17" a="1"/>
  <c r="O738" i="17" s="1" a="1"/>
  <c r="U738" i="17"/>
  <c r="W738" i="17" s="1"/>
  <c r="P738" i="17"/>
  <c r="H738" i="17" a="1"/>
  <c r="E738" i="17"/>
  <c r="X737" i="17" a="1"/>
  <c r="O737" i="17" s="1" a="1"/>
  <c r="U737" i="17"/>
  <c r="W737" i="17" s="1"/>
  <c r="P737" i="17"/>
  <c r="H737" i="17" a="1"/>
  <c r="E737" i="17"/>
  <c r="X736" i="17" a="1"/>
  <c r="O736" i="17" s="1" a="1"/>
  <c r="U736" i="17"/>
  <c r="W736" i="17" s="1"/>
  <c r="P736" i="17"/>
  <c r="H736" i="17" a="1"/>
  <c r="E736" i="17"/>
  <c r="X735" i="17" a="1"/>
  <c r="O735" i="17" s="1" a="1"/>
  <c r="U735" i="17"/>
  <c r="W735" i="17" s="1"/>
  <c r="P735" i="17"/>
  <c r="H735" i="17" a="1"/>
  <c r="E735" i="17"/>
  <c r="X734" i="17" a="1"/>
  <c r="O734" i="17" s="1" a="1"/>
  <c r="U734" i="17"/>
  <c r="W734" i="17" s="1"/>
  <c r="P734" i="17"/>
  <c r="H734" i="17" a="1"/>
  <c r="E734" i="17"/>
  <c r="X733" i="17" a="1"/>
  <c r="O733" i="17" s="1" a="1"/>
  <c r="U733" i="17"/>
  <c r="W733" i="17" s="1"/>
  <c r="P733" i="17"/>
  <c r="H733" i="17" a="1"/>
  <c r="E733" i="17"/>
  <c r="X732" i="17" a="1"/>
  <c r="O732" i="17" s="1" a="1"/>
  <c r="U732" i="17"/>
  <c r="W732" i="17" s="1"/>
  <c r="P732" i="17"/>
  <c r="H732" i="17" a="1"/>
  <c r="E732" i="17"/>
  <c r="X731" i="17" a="1"/>
  <c r="O731" i="17" s="1" a="1"/>
  <c r="U731" i="17"/>
  <c r="W731" i="17" s="1"/>
  <c r="P731" i="17"/>
  <c r="H731" i="17" a="1"/>
  <c r="E731" i="17"/>
  <c r="X730" i="17" a="1"/>
  <c r="O730" i="17" s="1" a="1"/>
  <c r="U730" i="17"/>
  <c r="W730" i="17" s="1"/>
  <c r="P730" i="17"/>
  <c r="H730" i="17" a="1"/>
  <c r="E730" i="17"/>
  <c r="X729" i="17" a="1"/>
  <c r="O729" i="17" s="1" a="1"/>
  <c r="U729" i="17"/>
  <c r="W729" i="17" s="1"/>
  <c r="P729" i="17"/>
  <c r="H729" i="17" a="1"/>
  <c r="E729" i="17"/>
  <c r="X728" i="17" a="1"/>
  <c r="O728" i="17" s="1" a="1"/>
  <c r="U728" i="17"/>
  <c r="W728" i="17" s="1"/>
  <c r="P728" i="17"/>
  <c r="H728" i="17" a="1"/>
  <c r="E728" i="17"/>
  <c r="X727" i="17" a="1"/>
  <c r="O727" i="17" s="1" a="1"/>
  <c r="U727" i="17"/>
  <c r="W727" i="17" s="1"/>
  <c r="P727" i="17"/>
  <c r="H727" i="17" a="1"/>
  <c r="E727" i="17"/>
  <c r="X726" i="17" a="1"/>
  <c r="O726" i="17" s="1" a="1"/>
  <c r="U726" i="17"/>
  <c r="W726" i="17" s="1"/>
  <c r="P726" i="17"/>
  <c r="H726" i="17" a="1"/>
  <c r="E726" i="17"/>
  <c r="X725" i="17" a="1"/>
  <c r="O725" i="17" s="1" a="1"/>
  <c r="U725" i="17"/>
  <c r="W725" i="17" s="1"/>
  <c r="P725" i="17"/>
  <c r="H725" i="17" a="1"/>
  <c r="E725" i="17"/>
  <c r="X724" i="17" a="1"/>
  <c r="O724" i="17" s="1" a="1"/>
  <c r="U724" i="17"/>
  <c r="W724" i="17" s="1"/>
  <c r="P724" i="17"/>
  <c r="H724" i="17" a="1"/>
  <c r="E724" i="17"/>
  <c r="X723" i="17" a="1"/>
  <c r="O723" i="17" s="1" a="1"/>
  <c r="U723" i="17"/>
  <c r="W723" i="17" s="1"/>
  <c r="P723" i="17"/>
  <c r="H723" i="17" a="1"/>
  <c r="E723" i="17"/>
  <c r="X722" i="17" a="1"/>
  <c r="O722" i="17" s="1" a="1"/>
  <c r="U722" i="17"/>
  <c r="W722" i="17" s="1"/>
  <c r="P722" i="17"/>
  <c r="H722" i="17" a="1"/>
  <c r="E722" i="17"/>
  <c r="X721" i="17" a="1"/>
  <c r="O721" i="17" s="1" a="1"/>
  <c r="U721" i="17"/>
  <c r="W721" i="17" s="1"/>
  <c r="P721" i="17"/>
  <c r="H721" i="17" a="1"/>
  <c r="E721" i="17"/>
  <c r="X720" i="17" a="1"/>
  <c r="O720" i="17" s="1" a="1"/>
  <c r="U720" i="17"/>
  <c r="W720" i="17" s="1"/>
  <c r="P720" i="17"/>
  <c r="H720" i="17" a="1"/>
  <c r="E720" i="17"/>
  <c r="X719" i="17" a="1"/>
  <c r="O719" i="17" s="1" a="1"/>
  <c r="U719" i="17"/>
  <c r="W719" i="17" s="1"/>
  <c r="P719" i="17"/>
  <c r="H719" i="17" a="1"/>
  <c r="E719" i="17"/>
  <c r="X718" i="17" a="1"/>
  <c r="O718" i="17" s="1" a="1"/>
  <c r="U718" i="17"/>
  <c r="W718" i="17" s="1"/>
  <c r="P718" i="17"/>
  <c r="H718" i="17" a="1"/>
  <c r="E718" i="17"/>
  <c r="X717" i="17" a="1"/>
  <c r="O717" i="17" s="1" a="1"/>
  <c r="U717" i="17"/>
  <c r="W717" i="17" s="1"/>
  <c r="P717" i="17"/>
  <c r="H717" i="17" a="1"/>
  <c r="E717" i="17"/>
  <c r="X716" i="17" a="1"/>
  <c r="O716" i="17" s="1" a="1"/>
  <c r="U716" i="17"/>
  <c r="W716" i="17" s="1"/>
  <c r="P716" i="17"/>
  <c r="H716" i="17" a="1"/>
  <c r="E716" i="17"/>
  <c r="X715" i="17" a="1"/>
  <c r="O715" i="17" s="1" a="1"/>
  <c r="U715" i="17"/>
  <c r="W715" i="17" s="1"/>
  <c r="P715" i="17"/>
  <c r="H715" i="17" a="1"/>
  <c r="E715" i="17"/>
  <c r="X714" i="17" a="1"/>
  <c r="O714" i="17" s="1" a="1"/>
  <c r="U714" i="17"/>
  <c r="W714" i="17" s="1"/>
  <c r="P714" i="17"/>
  <c r="H714" i="17" a="1"/>
  <c r="E714" i="17"/>
  <c r="X713" i="17" a="1"/>
  <c r="O713" i="17" s="1" a="1"/>
  <c r="U713" i="17"/>
  <c r="W713" i="17" s="1"/>
  <c r="P713" i="17"/>
  <c r="H713" i="17" a="1"/>
  <c r="E713" i="17"/>
  <c r="X712" i="17" a="1"/>
  <c r="O712" i="17" s="1" a="1"/>
  <c r="U712" i="17"/>
  <c r="W712" i="17" s="1"/>
  <c r="P712" i="17"/>
  <c r="H712" i="17" a="1"/>
  <c r="E712" i="17"/>
  <c r="X711" i="17" a="1"/>
  <c r="O711" i="17" s="1" a="1"/>
  <c r="U711" i="17"/>
  <c r="W711" i="17" s="1"/>
  <c r="P711" i="17"/>
  <c r="H711" i="17" a="1"/>
  <c r="E711" i="17"/>
  <c r="X710" i="17" a="1"/>
  <c r="O710" i="17" s="1" a="1"/>
  <c r="U710" i="17"/>
  <c r="W710" i="17" s="1"/>
  <c r="P710" i="17"/>
  <c r="H710" i="17" a="1"/>
  <c r="E710" i="17"/>
  <c r="X709" i="17" a="1"/>
  <c r="O709" i="17" s="1" a="1"/>
  <c r="U709" i="17"/>
  <c r="W709" i="17" s="1"/>
  <c r="P709" i="17"/>
  <c r="H709" i="17" a="1"/>
  <c r="E709" i="17"/>
  <c r="X708" i="17" a="1"/>
  <c r="O708" i="17" s="1" a="1"/>
  <c r="U708" i="17"/>
  <c r="W708" i="17" s="1"/>
  <c r="P708" i="17"/>
  <c r="H708" i="17" a="1"/>
  <c r="E708" i="17"/>
  <c r="X707" i="17" a="1"/>
  <c r="O707" i="17" s="1" a="1"/>
  <c r="U707" i="17"/>
  <c r="W707" i="17" s="1"/>
  <c r="P707" i="17"/>
  <c r="H707" i="17" a="1"/>
  <c r="E707" i="17"/>
  <c r="X706" i="17" a="1"/>
  <c r="O706" i="17" s="1" a="1"/>
  <c r="U706" i="17"/>
  <c r="W706" i="17" s="1"/>
  <c r="P706" i="17"/>
  <c r="H706" i="17" a="1"/>
  <c r="E706" i="17"/>
  <c r="X705" i="17" a="1"/>
  <c r="O705" i="17" s="1" a="1"/>
  <c r="U705" i="17"/>
  <c r="W705" i="17" s="1"/>
  <c r="P705" i="17"/>
  <c r="H705" i="17" a="1"/>
  <c r="E705" i="17"/>
  <c r="X704" i="17" a="1"/>
  <c r="O704" i="17" s="1" a="1"/>
  <c r="U704" i="17"/>
  <c r="W704" i="17" s="1"/>
  <c r="P704" i="17"/>
  <c r="H704" i="17" a="1"/>
  <c r="E704" i="17"/>
  <c r="X703" i="17" a="1"/>
  <c r="O703" i="17" s="1" a="1"/>
  <c r="U703" i="17"/>
  <c r="W703" i="17" s="1"/>
  <c r="P703" i="17"/>
  <c r="H703" i="17" a="1"/>
  <c r="E703" i="17"/>
  <c r="X702" i="17" a="1"/>
  <c r="O702" i="17" s="1" a="1"/>
  <c r="U702" i="17"/>
  <c r="W702" i="17" s="1"/>
  <c r="P702" i="17"/>
  <c r="H702" i="17" a="1"/>
  <c r="E702" i="17"/>
  <c r="X701" i="17" a="1"/>
  <c r="O701" i="17" s="1" a="1"/>
  <c r="U701" i="17"/>
  <c r="W701" i="17" s="1"/>
  <c r="P701" i="17"/>
  <c r="H701" i="17" a="1"/>
  <c r="E701" i="17"/>
  <c r="X700" i="17" a="1"/>
  <c r="O700" i="17" s="1" a="1"/>
  <c r="U700" i="17"/>
  <c r="W700" i="17" s="1"/>
  <c r="P700" i="17"/>
  <c r="H700" i="17" a="1"/>
  <c r="E700" i="17"/>
  <c r="X699" i="17" a="1"/>
  <c r="O699" i="17" s="1" a="1"/>
  <c r="U699" i="17"/>
  <c r="W699" i="17" s="1"/>
  <c r="P699" i="17"/>
  <c r="H699" i="17" a="1"/>
  <c r="E699" i="17"/>
  <c r="X698" i="17" a="1"/>
  <c r="O698" i="17" s="1" a="1"/>
  <c r="U698" i="17"/>
  <c r="W698" i="17" s="1"/>
  <c r="P698" i="17"/>
  <c r="H698" i="17" a="1"/>
  <c r="E698" i="17"/>
  <c r="X697" i="17" a="1"/>
  <c r="O697" i="17" s="1" a="1"/>
  <c r="U697" i="17"/>
  <c r="W697" i="17" s="1"/>
  <c r="P697" i="17"/>
  <c r="H697" i="17" a="1"/>
  <c r="E697" i="17"/>
  <c r="X696" i="17" a="1"/>
  <c r="O696" i="17" s="1" a="1"/>
  <c r="U696" i="17"/>
  <c r="W696" i="17" s="1"/>
  <c r="P696" i="17"/>
  <c r="H696" i="17" a="1"/>
  <c r="E696" i="17"/>
  <c r="X695" i="17" a="1"/>
  <c r="O695" i="17" s="1" a="1"/>
  <c r="U695" i="17"/>
  <c r="W695" i="17" s="1"/>
  <c r="P695" i="17"/>
  <c r="H695" i="17" a="1"/>
  <c r="E695" i="17"/>
  <c r="X694" i="17" a="1"/>
  <c r="O694" i="17" s="1" a="1"/>
  <c r="U694" i="17"/>
  <c r="W694" i="17" s="1"/>
  <c r="P694" i="17"/>
  <c r="H694" i="17" a="1"/>
  <c r="E694" i="17"/>
  <c r="X693" i="17" a="1"/>
  <c r="O693" i="17" s="1" a="1"/>
  <c r="U693" i="17"/>
  <c r="W693" i="17" s="1"/>
  <c r="P693" i="17"/>
  <c r="H693" i="17" a="1"/>
  <c r="E693" i="17"/>
  <c r="X692" i="17" a="1"/>
  <c r="O692" i="17" s="1" a="1"/>
  <c r="U692" i="17"/>
  <c r="W692" i="17" s="1"/>
  <c r="P692" i="17"/>
  <c r="H692" i="17" a="1"/>
  <c r="E692" i="17"/>
  <c r="X691" i="17" a="1"/>
  <c r="O691" i="17" s="1" a="1"/>
  <c r="U691" i="17"/>
  <c r="W691" i="17" s="1"/>
  <c r="P691" i="17"/>
  <c r="H691" i="17" a="1"/>
  <c r="E691" i="17"/>
  <c r="X690" i="17" a="1"/>
  <c r="O690" i="17" s="1" a="1"/>
  <c r="U690" i="17"/>
  <c r="W690" i="17" s="1"/>
  <c r="P690" i="17"/>
  <c r="H690" i="17" a="1"/>
  <c r="E690" i="17"/>
  <c r="X689" i="17" a="1"/>
  <c r="O689" i="17" s="1" a="1"/>
  <c r="U689" i="17"/>
  <c r="W689" i="17" s="1"/>
  <c r="P689" i="17"/>
  <c r="H689" i="17" a="1"/>
  <c r="E689" i="17"/>
  <c r="X688" i="17" a="1"/>
  <c r="O688" i="17" s="1" a="1"/>
  <c r="U688" i="17"/>
  <c r="W688" i="17" s="1"/>
  <c r="P688" i="17"/>
  <c r="H688" i="17" a="1"/>
  <c r="E688" i="17"/>
  <c r="X687" i="17" a="1"/>
  <c r="O687" i="17" s="1" a="1"/>
  <c r="U687" i="17"/>
  <c r="W687" i="17" s="1"/>
  <c r="P687" i="17"/>
  <c r="H687" i="17" a="1"/>
  <c r="E687" i="17"/>
  <c r="X686" i="17" a="1"/>
  <c r="O686" i="17" s="1" a="1"/>
  <c r="U686" i="17"/>
  <c r="W686" i="17" s="1"/>
  <c r="P686" i="17"/>
  <c r="H686" i="17" a="1"/>
  <c r="E686" i="17"/>
  <c r="X685" i="17" a="1"/>
  <c r="O685" i="17" s="1" a="1"/>
  <c r="U685" i="17"/>
  <c r="W685" i="17" s="1"/>
  <c r="P685" i="17"/>
  <c r="H685" i="17" a="1"/>
  <c r="E685" i="17"/>
  <c r="X684" i="17" a="1"/>
  <c r="O684" i="17" s="1" a="1"/>
  <c r="U684" i="17"/>
  <c r="W684" i="17" s="1"/>
  <c r="P684" i="17"/>
  <c r="H684" i="17" a="1"/>
  <c r="E684" i="17"/>
  <c r="X683" i="17" a="1"/>
  <c r="O683" i="17" s="1" a="1"/>
  <c r="U683" i="17"/>
  <c r="W683" i="17" s="1"/>
  <c r="P683" i="17"/>
  <c r="H683" i="17" a="1"/>
  <c r="E683" i="17"/>
  <c r="X682" i="17" a="1"/>
  <c r="O682" i="17" s="1" a="1"/>
  <c r="U682" i="17"/>
  <c r="W682" i="17" s="1"/>
  <c r="P682" i="17"/>
  <c r="H682" i="17" a="1"/>
  <c r="E682" i="17"/>
  <c r="X681" i="17" a="1"/>
  <c r="O681" i="17" s="1" a="1"/>
  <c r="U681" i="17"/>
  <c r="W681" i="17" s="1"/>
  <c r="P681" i="17"/>
  <c r="H681" i="17" a="1"/>
  <c r="E681" i="17"/>
  <c r="X680" i="17" a="1"/>
  <c r="O680" i="17" s="1" a="1"/>
  <c r="U680" i="17"/>
  <c r="W680" i="17" s="1"/>
  <c r="P680" i="17"/>
  <c r="H680" i="17" a="1"/>
  <c r="E680" i="17"/>
  <c r="X679" i="17" a="1"/>
  <c r="O679" i="17" s="1" a="1"/>
  <c r="U679" i="17"/>
  <c r="W679" i="17" s="1"/>
  <c r="P679" i="17"/>
  <c r="H679" i="17" a="1"/>
  <c r="E679" i="17"/>
  <c r="X678" i="17" a="1"/>
  <c r="O678" i="17" s="1" a="1"/>
  <c r="U678" i="17"/>
  <c r="W678" i="17" s="1"/>
  <c r="P678" i="17"/>
  <c r="H678" i="17" a="1"/>
  <c r="E678" i="17"/>
  <c r="X677" i="17" a="1"/>
  <c r="O677" i="17" s="1" a="1"/>
  <c r="U677" i="17"/>
  <c r="W677" i="17" s="1"/>
  <c r="P677" i="17"/>
  <c r="H677" i="17" a="1"/>
  <c r="E677" i="17"/>
  <c r="X676" i="17" a="1"/>
  <c r="O676" i="17" s="1" a="1"/>
  <c r="U676" i="17"/>
  <c r="W676" i="17" s="1"/>
  <c r="P676" i="17"/>
  <c r="H676" i="17" a="1"/>
  <c r="E676" i="17"/>
  <c r="X675" i="17" a="1"/>
  <c r="O675" i="17" s="1" a="1"/>
  <c r="U675" i="17"/>
  <c r="W675" i="17" s="1"/>
  <c r="P675" i="17"/>
  <c r="H675" i="17" a="1"/>
  <c r="E675" i="17"/>
  <c r="X674" i="17" a="1"/>
  <c r="O674" i="17" s="1" a="1"/>
  <c r="U674" i="17"/>
  <c r="W674" i="17" s="1"/>
  <c r="P674" i="17"/>
  <c r="H674" i="17" a="1"/>
  <c r="E674" i="17"/>
  <c r="X673" i="17" a="1"/>
  <c r="O673" i="17" s="1" a="1"/>
  <c r="U673" i="17"/>
  <c r="W673" i="17" s="1"/>
  <c r="P673" i="17"/>
  <c r="H673" i="17" a="1"/>
  <c r="E673" i="17"/>
  <c r="X672" i="17" a="1"/>
  <c r="O672" i="17" s="1" a="1"/>
  <c r="U672" i="17"/>
  <c r="W672" i="17" s="1"/>
  <c r="P672" i="17"/>
  <c r="H672" i="17" a="1"/>
  <c r="E672" i="17"/>
  <c r="X671" i="17" a="1"/>
  <c r="O671" i="17" s="1" a="1"/>
  <c r="U671" i="17"/>
  <c r="W671" i="17" s="1"/>
  <c r="P671" i="17"/>
  <c r="H671" i="17" a="1"/>
  <c r="E671" i="17"/>
  <c r="X670" i="17" a="1"/>
  <c r="O670" i="17" s="1" a="1"/>
  <c r="U670" i="17"/>
  <c r="W670" i="17" s="1"/>
  <c r="P670" i="17"/>
  <c r="H670" i="17" a="1"/>
  <c r="E670" i="17"/>
  <c r="X669" i="17" a="1"/>
  <c r="O669" i="17" s="1" a="1"/>
  <c r="U669" i="17"/>
  <c r="W669" i="17" s="1"/>
  <c r="P669" i="17"/>
  <c r="H669" i="17" a="1"/>
  <c r="E669" i="17"/>
  <c r="X668" i="17" a="1"/>
  <c r="O668" i="17" s="1" a="1"/>
  <c r="U668" i="17"/>
  <c r="W668" i="17" s="1"/>
  <c r="P668" i="17"/>
  <c r="H668" i="17" a="1"/>
  <c r="E668" i="17"/>
  <c r="X667" i="17" a="1"/>
  <c r="O667" i="17" s="1" a="1"/>
  <c r="U667" i="17"/>
  <c r="W667" i="17" s="1"/>
  <c r="P667" i="17"/>
  <c r="H667" i="17" a="1"/>
  <c r="E667" i="17"/>
  <c r="X666" i="17" a="1"/>
  <c r="O666" i="17" s="1" a="1"/>
  <c r="U666" i="17"/>
  <c r="W666" i="17" s="1"/>
  <c r="P666" i="17"/>
  <c r="H666" i="17" a="1"/>
  <c r="E666" i="17"/>
  <c r="X665" i="17" a="1"/>
  <c r="O665" i="17" s="1" a="1"/>
  <c r="U665" i="17"/>
  <c r="W665" i="17" s="1"/>
  <c r="P665" i="17"/>
  <c r="H665" i="17" a="1"/>
  <c r="E665" i="17"/>
  <c r="X664" i="17" a="1"/>
  <c r="O664" i="17" s="1" a="1"/>
  <c r="U664" i="17"/>
  <c r="W664" i="17" s="1"/>
  <c r="P664" i="17"/>
  <c r="H664" i="17" a="1"/>
  <c r="E664" i="17"/>
  <c r="X663" i="17" a="1"/>
  <c r="O663" i="17" s="1" a="1"/>
  <c r="U663" i="17"/>
  <c r="W663" i="17" s="1"/>
  <c r="P663" i="17"/>
  <c r="H663" i="17" a="1"/>
  <c r="E663" i="17"/>
  <c r="X662" i="17" a="1"/>
  <c r="O662" i="17" s="1" a="1"/>
  <c r="U662" i="17"/>
  <c r="W662" i="17" s="1"/>
  <c r="P662" i="17"/>
  <c r="H662" i="17" a="1"/>
  <c r="E662" i="17"/>
  <c r="X661" i="17" a="1"/>
  <c r="O661" i="17" s="1" a="1"/>
  <c r="U661" i="17"/>
  <c r="W661" i="17" s="1"/>
  <c r="P661" i="17"/>
  <c r="H661" i="17" a="1"/>
  <c r="E661" i="17"/>
  <c r="X660" i="17" a="1"/>
  <c r="O660" i="17" s="1" a="1"/>
  <c r="U660" i="17"/>
  <c r="W660" i="17" s="1"/>
  <c r="P660" i="17"/>
  <c r="H660" i="17" a="1"/>
  <c r="E660" i="17"/>
  <c r="X659" i="17" a="1"/>
  <c r="O659" i="17" s="1" a="1"/>
  <c r="U659" i="17"/>
  <c r="W659" i="17" s="1"/>
  <c r="P659" i="17"/>
  <c r="H659" i="17" a="1"/>
  <c r="E659" i="17"/>
  <c r="X658" i="17" a="1"/>
  <c r="O658" i="17" s="1" a="1"/>
  <c r="U658" i="17"/>
  <c r="W658" i="17" s="1"/>
  <c r="P658" i="17"/>
  <c r="H658" i="17" a="1"/>
  <c r="E658" i="17"/>
  <c r="X657" i="17" a="1"/>
  <c r="O657" i="17" s="1" a="1"/>
  <c r="U657" i="17"/>
  <c r="W657" i="17" s="1"/>
  <c r="P657" i="17"/>
  <c r="H657" i="17" a="1"/>
  <c r="E657" i="17"/>
  <c r="X656" i="17" a="1"/>
  <c r="O656" i="17" s="1" a="1"/>
  <c r="U656" i="17"/>
  <c r="W656" i="17" s="1"/>
  <c r="P656" i="17"/>
  <c r="H656" i="17" a="1"/>
  <c r="E656" i="17"/>
  <c r="X655" i="17" a="1"/>
  <c r="O655" i="17" s="1" a="1"/>
  <c r="U655" i="17"/>
  <c r="W655" i="17" s="1"/>
  <c r="P655" i="17"/>
  <c r="H655" i="17" a="1"/>
  <c r="E655" i="17"/>
  <c r="X654" i="17" a="1"/>
  <c r="O654" i="17" s="1" a="1"/>
  <c r="U654" i="17"/>
  <c r="W654" i="17" s="1"/>
  <c r="P654" i="17"/>
  <c r="H654" i="17" a="1"/>
  <c r="E654" i="17"/>
  <c r="X653" i="17" a="1"/>
  <c r="O653" i="17" s="1" a="1"/>
  <c r="U653" i="17"/>
  <c r="W653" i="17" s="1"/>
  <c r="P653" i="17"/>
  <c r="H653" i="17" a="1"/>
  <c r="E653" i="17"/>
  <c r="X652" i="17" a="1"/>
  <c r="O652" i="17" s="1" a="1"/>
  <c r="U652" i="17"/>
  <c r="W652" i="17" s="1"/>
  <c r="P652" i="17"/>
  <c r="H652" i="17" a="1"/>
  <c r="E652" i="17"/>
  <c r="X651" i="17" a="1"/>
  <c r="O651" i="17" s="1" a="1"/>
  <c r="U651" i="17"/>
  <c r="W651" i="17" s="1"/>
  <c r="P651" i="17"/>
  <c r="H651" i="17" a="1"/>
  <c r="E651" i="17"/>
  <c r="X650" i="17" a="1"/>
  <c r="O650" i="17" s="1" a="1"/>
  <c r="U650" i="17"/>
  <c r="W650" i="17" s="1"/>
  <c r="P650" i="17"/>
  <c r="H650" i="17" a="1"/>
  <c r="E650" i="17"/>
  <c r="X649" i="17" a="1"/>
  <c r="O649" i="17" s="1" a="1"/>
  <c r="U649" i="17"/>
  <c r="W649" i="17" s="1"/>
  <c r="P649" i="17"/>
  <c r="H649" i="17" a="1"/>
  <c r="E649" i="17"/>
  <c r="X648" i="17" a="1"/>
  <c r="O648" i="17" s="1" a="1"/>
  <c r="U648" i="17"/>
  <c r="W648" i="17" s="1"/>
  <c r="P648" i="17"/>
  <c r="H648" i="17" a="1"/>
  <c r="E648" i="17"/>
  <c r="X647" i="17" a="1"/>
  <c r="O647" i="17" s="1" a="1"/>
  <c r="U647" i="17"/>
  <c r="W647" i="17" s="1"/>
  <c r="P647" i="17"/>
  <c r="H647" i="17" a="1"/>
  <c r="E647" i="17"/>
  <c r="X646" i="17" a="1"/>
  <c r="O646" i="17" s="1" a="1"/>
  <c r="U646" i="17"/>
  <c r="W646" i="17" s="1"/>
  <c r="R646" i="17"/>
  <c r="P646" i="17"/>
  <c r="H646" i="17" a="1"/>
  <c r="E646" i="17"/>
  <c r="X645" i="17" a="1"/>
  <c r="O645" i="17" s="1" a="1"/>
  <c r="U645" i="17"/>
  <c r="W645" i="17" s="1"/>
  <c r="P645" i="17"/>
  <c r="H645" i="17" a="1"/>
  <c r="E645" i="17"/>
  <c r="X644" i="17" a="1"/>
  <c r="O644" i="17" s="1" a="1"/>
  <c r="U644" i="17"/>
  <c r="W644" i="17" s="1"/>
  <c r="P644" i="17"/>
  <c r="H644" i="17" a="1"/>
  <c r="E644" i="17"/>
  <c r="X643" i="17" a="1"/>
  <c r="O643" i="17" s="1" a="1"/>
  <c r="U643" i="17"/>
  <c r="W643" i="17" s="1"/>
  <c r="P643" i="17"/>
  <c r="H643" i="17" a="1"/>
  <c r="E643" i="17"/>
  <c r="X642" i="17" a="1"/>
  <c r="O642" i="17" s="1" a="1"/>
  <c r="U642" i="17"/>
  <c r="W642" i="17" s="1"/>
  <c r="P642" i="17"/>
  <c r="H642" i="17" a="1"/>
  <c r="E642" i="17"/>
  <c r="X641" i="17" a="1"/>
  <c r="O641" i="17" s="1" a="1"/>
  <c r="U641" i="17"/>
  <c r="W641" i="17" s="1"/>
  <c r="P641" i="17"/>
  <c r="H641" i="17" a="1"/>
  <c r="E641" i="17"/>
  <c r="X640" i="17" a="1"/>
  <c r="O640" i="17" s="1" a="1"/>
  <c r="U640" i="17"/>
  <c r="W640" i="17" s="1"/>
  <c r="P640" i="17"/>
  <c r="H640" i="17" a="1"/>
  <c r="E640" i="17"/>
  <c r="X639" i="17" a="1"/>
  <c r="O639" i="17" s="1" a="1"/>
  <c r="U639" i="17"/>
  <c r="W639" i="17" s="1"/>
  <c r="P639" i="17"/>
  <c r="H639" i="17" a="1"/>
  <c r="E639" i="17"/>
  <c r="X638" i="17" a="1"/>
  <c r="O638" i="17" s="1" a="1"/>
  <c r="U638" i="17"/>
  <c r="W638" i="17" s="1"/>
  <c r="P638" i="17"/>
  <c r="H638" i="17" a="1"/>
  <c r="E638" i="17"/>
  <c r="X637" i="17" a="1"/>
  <c r="O637" i="17" s="1" a="1"/>
  <c r="U637" i="17"/>
  <c r="W637" i="17" s="1"/>
  <c r="P637" i="17"/>
  <c r="H637" i="17" a="1"/>
  <c r="E637" i="17"/>
  <c r="X636" i="17" a="1"/>
  <c r="O636" i="17" s="1" a="1"/>
  <c r="U636" i="17"/>
  <c r="W636" i="17" s="1"/>
  <c r="P636" i="17"/>
  <c r="H636" i="17" a="1"/>
  <c r="E636" i="17"/>
  <c r="X635" i="17" a="1"/>
  <c r="O635" i="17" s="1" a="1"/>
  <c r="U635" i="17"/>
  <c r="W635" i="17" s="1"/>
  <c r="P635" i="17"/>
  <c r="H635" i="17" a="1"/>
  <c r="E635" i="17"/>
  <c r="X634" i="17" a="1"/>
  <c r="O634" i="17" s="1" a="1"/>
  <c r="U634" i="17"/>
  <c r="W634" i="17" s="1"/>
  <c r="P634" i="17"/>
  <c r="H634" i="17" a="1"/>
  <c r="E634" i="17"/>
  <c r="X633" i="17" a="1"/>
  <c r="O633" i="17" s="1" a="1"/>
  <c r="U633" i="17"/>
  <c r="W633" i="17" s="1"/>
  <c r="P633" i="17"/>
  <c r="H633" i="17" a="1"/>
  <c r="E633" i="17"/>
  <c r="X632" i="17" a="1"/>
  <c r="O632" i="17" s="1" a="1"/>
  <c r="U632" i="17"/>
  <c r="W632" i="17" s="1"/>
  <c r="P632" i="17"/>
  <c r="H632" i="17" a="1"/>
  <c r="E632" i="17"/>
  <c r="X631" i="17" a="1"/>
  <c r="O631" i="17" s="1" a="1"/>
  <c r="U631" i="17"/>
  <c r="W631" i="17" s="1"/>
  <c r="P631" i="17"/>
  <c r="H631" i="17" a="1"/>
  <c r="E631" i="17"/>
  <c r="X630" i="17" a="1"/>
  <c r="O630" i="17" s="1" a="1"/>
  <c r="T630" i="17"/>
  <c r="U630" i="17" s="1"/>
  <c r="W630" i="17" s="1"/>
  <c r="P630" i="17"/>
  <c r="H630" i="17" a="1"/>
  <c r="E630" i="17"/>
  <c r="X629" i="17" a="1"/>
  <c r="O629" i="17" s="1" a="1"/>
  <c r="T629" i="17"/>
  <c r="U629" i="17" s="1"/>
  <c r="W629" i="17" s="1"/>
  <c r="P629" i="17"/>
  <c r="H629" i="17" a="1"/>
  <c r="E629" i="17"/>
  <c r="X628" i="17" a="1"/>
  <c r="O628" i="17" s="1" a="1"/>
  <c r="U628" i="17"/>
  <c r="W628" i="17" s="1"/>
  <c r="R628" i="17"/>
  <c r="P628" i="17"/>
  <c r="H628" i="17" a="1"/>
  <c r="E628" i="17"/>
  <c r="X627" i="17" a="1"/>
  <c r="O627" i="17" s="1" a="1"/>
  <c r="R627" i="17"/>
  <c r="Q627" i="17"/>
  <c r="U627" i="17" s="1"/>
  <c r="W627" i="17" s="1"/>
  <c r="P627" i="17"/>
  <c r="H627" i="17" a="1"/>
  <c r="E627" i="17"/>
  <c r="X626" i="17" a="1"/>
  <c r="O626" i="17" s="1" a="1"/>
  <c r="U626" i="17"/>
  <c r="W626" i="17" s="1"/>
  <c r="R626" i="17"/>
  <c r="P626" i="17"/>
  <c r="H626" i="17" a="1"/>
  <c r="E626" i="17"/>
  <c r="X625" i="17" a="1"/>
  <c r="O625" i="17" s="1" a="1"/>
  <c r="U625" i="17"/>
  <c r="W625" i="17" s="1"/>
  <c r="P625" i="17"/>
  <c r="H625" i="17" a="1"/>
  <c r="E625" i="17"/>
  <c r="Y624" i="17"/>
  <c r="X624" i="17" a="1"/>
  <c r="O624" i="17" s="1" a="1"/>
  <c r="U624" i="17"/>
  <c r="W624" i="17" s="1"/>
  <c r="P624" i="17"/>
  <c r="J624" i="17"/>
  <c r="H624" i="17" a="1"/>
  <c r="E624" i="17"/>
  <c r="X623" i="17" a="1"/>
  <c r="O623" i="17" s="1" a="1"/>
  <c r="U623" i="17"/>
  <c r="W623" i="17" s="1"/>
  <c r="P623" i="17"/>
  <c r="H623" i="17" a="1"/>
  <c r="E623" i="17"/>
  <c r="X622" i="17" a="1"/>
  <c r="O622" i="17" s="1" a="1"/>
  <c r="T622" i="17"/>
  <c r="U622" i="17" s="1"/>
  <c r="W622" i="17" s="1"/>
  <c r="P622" i="17"/>
  <c r="H622" i="17" a="1"/>
  <c r="E622" i="17"/>
  <c r="X621" i="17" a="1"/>
  <c r="O621" i="17" s="1" a="1"/>
  <c r="U621" i="17"/>
  <c r="W621" i="17" s="1"/>
  <c r="R621" i="17"/>
  <c r="P621" i="17"/>
  <c r="H621" i="17" a="1"/>
  <c r="E621" i="17"/>
  <c r="X620" i="17" a="1"/>
  <c r="O620" i="17" s="1" a="1"/>
  <c r="U620" i="17"/>
  <c r="W620" i="17" s="1"/>
  <c r="P620" i="17"/>
  <c r="H620" i="17" a="1"/>
  <c r="E620" i="17"/>
  <c r="X619" i="17" a="1"/>
  <c r="O619" i="17" s="1" a="1"/>
  <c r="U619" i="17"/>
  <c r="W619" i="17" s="1"/>
  <c r="P619" i="17"/>
  <c r="H619" i="17" a="1"/>
  <c r="E619" i="17"/>
  <c r="X618" i="17" a="1"/>
  <c r="O618" i="17" s="1" a="1"/>
  <c r="U618" i="17"/>
  <c r="W618" i="17" s="1"/>
  <c r="R618" i="17"/>
  <c r="P618" i="17"/>
  <c r="H618" i="17" a="1"/>
  <c r="E618" i="17"/>
  <c r="X617" i="17" a="1"/>
  <c r="O617" i="17" s="1" a="1"/>
  <c r="U617" i="17"/>
  <c r="W617" i="17" s="1"/>
  <c r="P617" i="17"/>
  <c r="H617" i="17" a="1"/>
  <c r="E617" i="17"/>
  <c r="X616" i="17" a="1"/>
  <c r="O616" i="17" s="1" a="1"/>
  <c r="U616" i="17"/>
  <c r="W616" i="17" s="1"/>
  <c r="P616" i="17"/>
  <c r="H616" i="17" a="1"/>
  <c r="E616" i="17"/>
  <c r="X615" i="17" a="1"/>
  <c r="O615" i="17" s="1" a="1"/>
  <c r="U615" i="17"/>
  <c r="W615" i="17" s="1"/>
  <c r="P615" i="17"/>
  <c r="H615" i="17" a="1"/>
  <c r="E615" i="17"/>
  <c r="X614" i="17" a="1"/>
  <c r="O614" i="17" s="1" a="1"/>
  <c r="U614" i="17"/>
  <c r="W614" i="17" s="1"/>
  <c r="P614" i="17"/>
  <c r="H614" i="17" a="1"/>
  <c r="E614" i="17"/>
  <c r="X613" i="17" a="1"/>
  <c r="O613" i="17" s="1" a="1"/>
  <c r="U613" i="17"/>
  <c r="W613" i="17" s="1"/>
  <c r="P613" i="17"/>
  <c r="H613" i="17" a="1"/>
  <c r="E613" i="17"/>
  <c r="X612" i="17" a="1"/>
  <c r="O612" i="17" s="1" a="1"/>
  <c r="U612" i="17"/>
  <c r="W612" i="17" s="1"/>
  <c r="P612" i="17"/>
  <c r="H612" i="17" a="1"/>
  <c r="E612" i="17"/>
  <c r="X611" i="17" a="1"/>
  <c r="O611" i="17" s="1" a="1"/>
  <c r="U611" i="17"/>
  <c r="W611" i="17" s="1"/>
  <c r="P611" i="17"/>
  <c r="H611" i="17" a="1"/>
  <c r="E611" i="17"/>
  <c r="X610" i="17" a="1"/>
  <c r="O610" i="17" s="1" a="1"/>
  <c r="U610" i="17"/>
  <c r="W610" i="17" s="1"/>
  <c r="P610" i="17"/>
  <c r="H610" i="17" a="1"/>
  <c r="E610" i="17"/>
  <c r="X609" i="17" a="1"/>
  <c r="O609" i="17" s="1" a="1"/>
  <c r="U609" i="17"/>
  <c r="W609" i="17" s="1"/>
  <c r="P609" i="17"/>
  <c r="H609" i="17" a="1"/>
  <c r="E609" i="17"/>
  <c r="X608" i="17" a="1"/>
  <c r="O608" i="17" s="1" a="1"/>
  <c r="U608" i="17"/>
  <c r="W608" i="17" s="1"/>
  <c r="P608" i="17"/>
  <c r="H608" i="17" a="1"/>
  <c r="E608" i="17"/>
  <c r="X607" i="17" a="1"/>
  <c r="O607" i="17" s="1" a="1"/>
  <c r="U607" i="17"/>
  <c r="W607" i="17" s="1"/>
  <c r="P607" i="17"/>
  <c r="H607" i="17" a="1"/>
  <c r="E607" i="17"/>
  <c r="X606" i="17" a="1"/>
  <c r="O606" i="17" s="1" a="1"/>
  <c r="U606" i="17"/>
  <c r="W606" i="17" s="1"/>
  <c r="P606" i="17"/>
  <c r="H606" i="17" a="1"/>
  <c r="E606" i="17"/>
  <c r="X605" i="17" a="1"/>
  <c r="O605" i="17" s="1" a="1"/>
  <c r="U605" i="17"/>
  <c r="W605" i="17" s="1"/>
  <c r="P605" i="17"/>
  <c r="H605" i="17" a="1"/>
  <c r="E605" i="17"/>
  <c r="X604" i="17" a="1"/>
  <c r="O604" i="17" s="1" a="1"/>
  <c r="U604" i="17"/>
  <c r="W604" i="17" s="1"/>
  <c r="P604" i="17"/>
  <c r="H604" i="17" a="1"/>
  <c r="E604" i="17"/>
  <c r="X603" i="17" a="1"/>
  <c r="O603" i="17" s="1" a="1"/>
  <c r="U603" i="17"/>
  <c r="W603" i="17" s="1"/>
  <c r="P603" i="17"/>
  <c r="H603" i="17" a="1"/>
  <c r="E603" i="17"/>
  <c r="X602" i="17" a="1"/>
  <c r="O602" i="17" s="1" a="1"/>
  <c r="U602" i="17"/>
  <c r="W602" i="17" s="1"/>
  <c r="P602" i="17"/>
  <c r="H602" i="17" a="1"/>
  <c r="E602" i="17"/>
  <c r="X601" i="17" a="1"/>
  <c r="O601" i="17" s="1" a="1"/>
  <c r="U601" i="17"/>
  <c r="W601" i="17" s="1"/>
  <c r="P601" i="17"/>
  <c r="H601" i="17" a="1"/>
  <c r="E601" i="17"/>
  <c r="X600" i="17" a="1"/>
  <c r="O600" i="17" s="1" a="1"/>
  <c r="U600" i="17"/>
  <c r="W600" i="17" s="1"/>
  <c r="P600" i="17"/>
  <c r="H600" i="17" a="1"/>
  <c r="E600" i="17"/>
  <c r="X599" i="17" a="1"/>
  <c r="O599" i="17" s="1" a="1"/>
  <c r="U599" i="17"/>
  <c r="W599" i="17" s="1"/>
  <c r="P599" i="17"/>
  <c r="H599" i="17" a="1"/>
  <c r="E599" i="17"/>
  <c r="X598" i="17" a="1"/>
  <c r="O598" i="17" s="1" a="1"/>
  <c r="U598" i="17"/>
  <c r="W598" i="17" s="1"/>
  <c r="P598" i="17"/>
  <c r="H598" i="17" a="1"/>
  <c r="E598" i="17"/>
  <c r="X597" i="17" a="1"/>
  <c r="O597" i="17" s="1" a="1"/>
  <c r="U597" i="17"/>
  <c r="W597" i="17" s="1"/>
  <c r="P597" i="17"/>
  <c r="H597" i="17" a="1"/>
  <c r="E597" i="17"/>
  <c r="X596" i="17" a="1"/>
  <c r="O596" i="17" s="1" a="1"/>
  <c r="U596" i="17"/>
  <c r="W596" i="17" s="1"/>
  <c r="P596" i="17"/>
  <c r="H596" i="17" a="1"/>
  <c r="E596" i="17"/>
  <c r="X595" i="17" a="1"/>
  <c r="O595" i="17" s="1" a="1"/>
  <c r="U595" i="17"/>
  <c r="W595" i="17" s="1"/>
  <c r="P595" i="17"/>
  <c r="H595" i="17" a="1"/>
  <c r="E595" i="17"/>
  <c r="X594" i="17" a="1"/>
  <c r="O594" i="17" s="1" a="1"/>
  <c r="U594" i="17"/>
  <c r="W594" i="17" s="1"/>
  <c r="P594" i="17"/>
  <c r="H594" i="17" a="1"/>
  <c r="E594" i="17"/>
  <c r="X593" i="17" a="1"/>
  <c r="O593" i="17" s="1" a="1"/>
  <c r="U593" i="17"/>
  <c r="W593" i="17" s="1"/>
  <c r="P593" i="17"/>
  <c r="H593" i="17" a="1"/>
  <c r="E593" i="17"/>
  <c r="X592" i="17" a="1"/>
  <c r="O592" i="17" s="1" a="1"/>
  <c r="U592" i="17"/>
  <c r="W592" i="17" s="1"/>
  <c r="P592" i="17"/>
  <c r="H592" i="17" a="1"/>
  <c r="E592" i="17"/>
  <c r="X591" i="17" a="1"/>
  <c r="O591" i="17" s="1" a="1"/>
  <c r="U591" i="17"/>
  <c r="W591" i="17" s="1"/>
  <c r="P591" i="17"/>
  <c r="H591" i="17" a="1"/>
  <c r="E591" i="17"/>
  <c r="X590" i="17" a="1"/>
  <c r="O590" i="17" s="1" a="1"/>
  <c r="U590" i="17"/>
  <c r="W590" i="17" s="1"/>
  <c r="P590" i="17"/>
  <c r="H590" i="17" a="1"/>
  <c r="E590" i="17"/>
  <c r="X589" i="17" a="1"/>
  <c r="O589" i="17" s="1" a="1"/>
  <c r="U589" i="17"/>
  <c r="W589" i="17" s="1"/>
  <c r="P589" i="17"/>
  <c r="H589" i="17" a="1"/>
  <c r="E589" i="17"/>
  <c r="X588" i="17" a="1"/>
  <c r="O588" i="17" s="1" a="1"/>
  <c r="U588" i="17"/>
  <c r="W588" i="17" s="1"/>
  <c r="P588" i="17"/>
  <c r="H588" i="17" a="1"/>
  <c r="E588" i="17"/>
  <c r="X587" i="17" a="1"/>
  <c r="O587" i="17" s="1" a="1"/>
  <c r="U587" i="17"/>
  <c r="W587" i="17" s="1"/>
  <c r="P587" i="17"/>
  <c r="H587" i="17" a="1"/>
  <c r="E587" i="17"/>
  <c r="X586" i="17" a="1"/>
  <c r="O586" i="17" s="1" a="1"/>
  <c r="U586" i="17"/>
  <c r="W586" i="17" s="1"/>
  <c r="P586" i="17"/>
  <c r="H586" i="17" a="1"/>
  <c r="E586" i="17"/>
  <c r="X585" i="17" a="1"/>
  <c r="O585" i="17" s="1" a="1"/>
  <c r="U585" i="17"/>
  <c r="W585" i="17" s="1"/>
  <c r="P585" i="17"/>
  <c r="H585" i="17" a="1"/>
  <c r="E585" i="17"/>
  <c r="X584" i="17" a="1"/>
  <c r="O584" i="17" s="1" a="1"/>
  <c r="U584" i="17"/>
  <c r="W584" i="17" s="1"/>
  <c r="P584" i="17"/>
  <c r="H584" i="17" a="1"/>
  <c r="E584" i="17"/>
  <c r="X583" i="17" a="1"/>
  <c r="O583" i="17" s="1" a="1"/>
  <c r="U583" i="17"/>
  <c r="W583" i="17" s="1"/>
  <c r="P583" i="17"/>
  <c r="H583" i="17" a="1"/>
  <c r="E583" i="17"/>
  <c r="X582" i="17" a="1"/>
  <c r="O582" i="17" s="1" a="1"/>
  <c r="U582" i="17"/>
  <c r="W582" i="17" s="1"/>
  <c r="P582" i="17"/>
  <c r="H582" i="17" a="1"/>
  <c r="E582" i="17"/>
  <c r="X581" i="17" a="1"/>
  <c r="O581" i="17" s="1" a="1"/>
  <c r="U581" i="17"/>
  <c r="W581" i="17" s="1"/>
  <c r="P581" i="17"/>
  <c r="H581" i="17" a="1"/>
  <c r="E581" i="17"/>
  <c r="X580" i="17" a="1"/>
  <c r="O580" i="17" s="1" a="1"/>
  <c r="U580" i="17"/>
  <c r="W580" i="17" s="1"/>
  <c r="P580" i="17"/>
  <c r="H580" i="17" a="1"/>
  <c r="E580" i="17"/>
  <c r="X579" i="17" a="1"/>
  <c r="O579" i="17" s="1" a="1"/>
  <c r="U579" i="17"/>
  <c r="W579" i="17" s="1"/>
  <c r="P579" i="17"/>
  <c r="H579" i="17" a="1"/>
  <c r="E579" i="17"/>
  <c r="X578" i="17" a="1"/>
  <c r="O578" i="17" s="1" a="1"/>
  <c r="U578" i="17"/>
  <c r="W578" i="17" s="1"/>
  <c r="P578" i="17"/>
  <c r="H578" i="17" a="1"/>
  <c r="E578" i="17"/>
  <c r="X577" i="17" a="1"/>
  <c r="O577" i="17" s="1" a="1"/>
  <c r="U577" i="17"/>
  <c r="W577" i="17" s="1"/>
  <c r="P577" i="17"/>
  <c r="H577" i="17" a="1"/>
  <c r="E577" i="17"/>
  <c r="X576" i="17" a="1"/>
  <c r="O576" i="17" s="1" a="1"/>
  <c r="U576" i="17"/>
  <c r="W576" i="17" s="1"/>
  <c r="P576" i="17"/>
  <c r="H576" i="17" a="1"/>
  <c r="E576" i="17"/>
  <c r="X575" i="17" a="1"/>
  <c r="O575" i="17" s="1" a="1"/>
  <c r="U575" i="17"/>
  <c r="W575" i="17" s="1"/>
  <c r="P575" i="17"/>
  <c r="H575" i="17" a="1"/>
  <c r="E575" i="17"/>
  <c r="X574" i="17" a="1"/>
  <c r="O574" i="17" s="1" a="1"/>
  <c r="U574" i="17"/>
  <c r="W574" i="17" s="1"/>
  <c r="P574" i="17"/>
  <c r="H574" i="17" a="1"/>
  <c r="E574" i="17"/>
  <c r="X573" i="17" a="1"/>
  <c r="O573" i="17" s="1" a="1"/>
  <c r="U573" i="17"/>
  <c r="W573" i="17" s="1"/>
  <c r="P573" i="17"/>
  <c r="H573" i="17" a="1"/>
  <c r="E573" i="17"/>
  <c r="X572" i="17" a="1"/>
  <c r="O572" i="17" s="1" a="1"/>
  <c r="U572" i="17"/>
  <c r="W572" i="17" s="1"/>
  <c r="P572" i="17"/>
  <c r="H572" i="17" a="1"/>
  <c r="E572" i="17"/>
  <c r="X571" i="17" a="1"/>
  <c r="O571" i="17" s="1" a="1"/>
  <c r="U571" i="17"/>
  <c r="W571" i="17" s="1"/>
  <c r="P571" i="17"/>
  <c r="J571" i="17"/>
  <c r="H571" i="17" a="1"/>
  <c r="E571" i="17"/>
  <c r="X570" i="17" a="1"/>
  <c r="O570" i="17" s="1" a="1"/>
  <c r="U570" i="17"/>
  <c r="W570" i="17" s="1"/>
  <c r="P570" i="17"/>
  <c r="H570" i="17" a="1"/>
  <c r="E570" i="17"/>
  <c r="X569" i="17" a="1"/>
  <c r="O569" i="17" s="1" a="1"/>
  <c r="U569" i="17"/>
  <c r="W569" i="17" s="1"/>
  <c r="P569" i="17"/>
  <c r="H569" i="17" a="1"/>
  <c r="E569" i="17"/>
  <c r="X568" i="17" a="1"/>
  <c r="O568" i="17" s="1" a="1"/>
  <c r="U568" i="17"/>
  <c r="W568" i="17" s="1"/>
  <c r="P568" i="17"/>
  <c r="H568" i="17" a="1"/>
  <c r="E568" i="17"/>
  <c r="X567" i="17" a="1"/>
  <c r="O567" i="17" s="1" a="1"/>
  <c r="U567" i="17"/>
  <c r="W567" i="17" s="1"/>
  <c r="P567" i="17"/>
  <c r="H567" i="17" a="1"/>
  <c r="E567" i="17"/>
  <c r="X566" i="17" a="1"/>
  <c r="O566" i="17" s="1" a="1"/>
  <c r="U566" i="17"/>
  <c r="W566" i="17" s="1"/>
  <c r="P566" i="17"/>
  <c r="H566" i="17" a="1"/>
  <c r="E566" i="17"/>
  <c r="X565" i="17" a="1"/>
  <c r="O565" i="17" s="1" a="1"/>
  <c r="U565" i="17"/>
  <c r="W565" i="17" s="1"/>
  <c r="P565" i="17"/>
  <c r="H565" i="17" a="1"/>
  <c r="E565" i="17"/>
  <c r="X564" i="17" a="1"/>
  <c r="O564" i="17" s="1" a="1"/>
  <c r="U564" i="17"/>
  <c r="W564" i="17" s="1"/>
  <c r="P564" i="17"/>
  <c r="H564" i="17" a="1"/>
  <c r="E564" i="17"/>
  <c r="X563" i="17" a="1"/>
  <c r="O563" i="17" s="1" a="1"/>
  <c r="U563" i="17"/>
  <c r="W563" i="17" s="1"/>
  <c r="P563" i="17"/>
  <c r="H563" i="17" a="1"/>
  <c r="E563" i="17"/>
  <c r="X562" i="17" a="1"/>
  <c r="O562" i="17" s="1" a="1"/>
  <c r="U562" i="17"/>
  <c r="W562" i="17" s="1"/>
  <c r="R562" i="17"/>
  <c r="P562" i="17"/>
  <c r="H562" i="17" a="1"/>
  <c r="E562" i="17"/>
  <c r="X561" i="17" a="1"/>
  <c r="O561" i="17" s="1" a="1"/>
  <c r="U561" i="17"/>
  <c r="W561" i="17" s="1"/>
  <c r="P561" i="17"/>
  <c r="H561" i="17" a="1"/>
  <c r="E561" i="17"/>
  <c r="X560" i="17" a="1"/>
  <c r="O560" i="17" s="1" a="1"/>
  <c r="T560" i="17"/>
  <c r="U560" i="17" s="1"/>
  <c r="W560" i="17" s="1"/>
  <c r="P560" i="17"/>
  <c r="H560" i="17" a="1"/>
  <c r="E560" i="17"/>
  <c r="X559" i="17" a="1"/>
  <c r="O559" i="17" s="1" a="1"/>
  <c r="T559" i="17"/>
  <c r="U559" i="17" s="1"/>
  <c r="W559" i="17" s="1"/>
  <c r="P559" i="17"/>
  <c r="H559" i="17" a="1"/>
  <c r="E559" i="17"/>
  <c r="X558" i="17" a="1"/>
  <c r="O558" i="17" s="1" a="1"/>
  <c r="T558" i="17"/>
  <c r="U558" i="17" s="1"/>
  <c r="W558" i="17" s="1"/>
  <c r="P558" i="17"/>
  <c r="H558" i="17" a="1"/>
  <c r="E558" i="17"/>
  <c r="X557" i="17" a="1"/>
  <c r="O557" i="17" s="1" a="1"/>
  <c r="U557" i="17"/>
  <c r="W557" i="17" s="1"/>
  <c r="P557" i="17"/>
  <c r="H557" i="17" a="1"/>
  <c r="E557" i="17"/>
  <c r="Y556" i="17"/>
  <c r="X556" i="17" a="1"/>
  <c r="O556" i="17" s="1" a="1"/>
  <c r="T556" i="17"/>
  <c r="Q556" i="17"/>
  <c r="P556" i="17"/>
  <c r="J556" i="17"/>
  <c r="H556" i="17" a="1"/>
  <c r="E556" i="17"/>
  <c r="X555" i="17" a="1"/>
  <c r="O555" i="17" s="1" a="1"/>
  <c r="U555" i="17"/>
  <c r="W555" i="17" s="1"/>
  <c r="R555" i="17"/>
  <c r="P555" i="17"/>
  <c r="H555" i="17" a="1"/>
  <c r="E555" i="17"/>
  <c r="X554" i="17" a="1"/>
  <c r="O554" i="17" s="1" a="1"/>
  <c r="T554" i="17"/>
  <c r="U554" i="17" s="1"/>
  <c r="W554" i="17" s="1"/>
  <c r="R554" i="17"/>
  <c r="P554" i="17"/>
  <c r="H554" i="17" a="1"/>
  <c r="E554" i="17"/>
  <c r="X553" i="17" a="1"/>
  <c r="O553" i="17" s="1" a="1"/>
  <c r="U553" i="17"/>
  <c r="W553" i="17" s="1"/>
  <c r="R553" i="17"/>
  <c r="P553" i="17"/>
  <c r="H553" i="17" a="1"/>
  <c r="E553" i="17"/>
  <c r="X552" i="17" a="1"/>
  <c r="O552" i="17" s="1" a="1"/>
  <c r="R552" i="17"/>
  <c r="Q552" i="17"/>
  <c r="U552" i="17" s="1"/>
  <c r="W552" i="17" s="1"/>
  <c r="P552" i="17"/>
  <c r="H552" i="17" a="1"/>
  <c r="E552" i="17"/>
  <c r="X551" i="17" a="1"/>
  <c r="O551" i="17" s="1" a="1"/>
  <c r="U551" i="17"/>
  <c r="W551" i="17" s="1"/>
  <c r="P551" i="17"/>
  <c r="H551" i="17" a="1"/>
  <c r="E551" i="17"/>
  <c r="X550" i="17" a="1"/>
  <c r="O550" i="17" s="1" a="1"/>
  <c r="U550" i="17"/>
  <c r="W550" i="17" s="1"/>
  <c r="R550" i="17"/>
  <c r="P550" i="17"/>
  <c r="H550" i="17" a="1"/>
  <c r="E550" i="17"/>
  <c r="X549" i="17" a="1"/>
  <c r="O549" i="17" s="1" a="1"/>
  <c r="T549" i="17"/>
  <c r="U549" i="17" s="1"/>
  <c r="W549" i="17" s="1"/>
  <c r="P549" i="17"/>
  <c r="H549" i="17" a="1"/>
  <c r="E549" i="17"/>
  <c r="X548" i="17" a="1"/>
  <c r="O548" i="17" s="1" a="1"/>
  <c r="T548" i="17"/>
  <c r="U548" i="17" s="1"/>
  <c r="W548" i="17" s="1"/>
  <c r="P548" i="17"/>
  <c r="H548" i="17" a="1"/>
  <c r="E548" i="17"/>
  <c r="Y547" i="17"/>
  <c r="X547" i="17" a="1"/>
  <c r="O547" i="17" s="1" a="1"/>
  <c r="U547" i="17"/>
  <c r="W547" i="17" s="1"/>
  <c r="P547" i="17"/>
  <c r="J547" i="17"/>
  <c r="H547" i="17" a="1"/>
  <c r="E547" i="17"/>
  <c r="X546" i="17" a="1"/>
  <c r="O546" i="17" s="1" a="1"/>
  <c r="U546" i="17"/>
  <c r="W546" i="17" s="1"/>
  <c r="P546" i="17"/>
  <c r="H546" i="17" a="1"/>
  <c r="E546" i="17"/>
  <c r="X545" i="17" a="1"/>
  <c r="O545" i="17" s="1" a="1"/>
  <c r="T545" i="17"/>
  <c r="U545" i="17" s="1"/>
  <c r="W545" i="17" s="1"/>
  <c r="P545" i="17"/>
  <c r="H545" i="17" a="1"/>
  <c r="E545" i="17"/>
  <c r="X544" i="17" a="1"/>
  <c r="O544" i="17" s="1" a="1"/>
  <c r="U544" i="17"/>
  <c r="W544" i="17" s="1"/>
  <c r="R544" i="17"/>
  <c r="P544" i="17"/>
  <c r="H544" i="17" a="1"/>
  <c r="E544" i="17"/>
  <c r="X543" i="17" a="1"/>
  <c r="O543" i="17" s="1" a="1"/>
  <c r="U543" i="17"/>
  <c r="W543" i="17" s="1"/>
  <c r="R543" i="17"/>
  <c r="P543" i="17"/>
  <c r="H543" i="17" a="1"/>
  <c r="E543" i="17"/>
  <c r="X542" i="17" a="1"/>
  <c r="O542" i="17" s="1" a="1"/>
  <c r="U542" i="17"/>
  <c r="W542" i="17" s="1"/>
  <c r="R542" i="17"/>
  <c r="P542" i="17"/>
  <c r="H542" i="17" a="1"/>
  <c r="E542" i="17"/>
  <c r="X541" i="17" a="1"/>
  <c r="O541" i="17" s="1" a="1"/>
  <c r="U541" i="17"/>
  <c r="W541" i="17" s="1"/>
  <c r="P541" i="17"/>
  <c r="H541" i="17" a="1"/>
  <c r="E541" i="17"/>
  <c r="Y540" i="17"/>
  <c r="X540" i="17" a="1"/>
  <c r="O540" i="17" s="1" a="1"/>
  <c r="U540" i="17"/>
  <c r="W540" i="17" s="1"/>
  <c r="P540" i="17"/>
  <c r="J540" i="17"/>
  <c r="H540" i="17" a="1"/>
  <c r="E540" i="17"/>
  <c r="Y539" i="17"/>
  <c r="X539" i="17" a="1"/>
  <c r="O539" i="17" s="1" a="1"/>
  <c r="U539" i="17"/>
  <c r="W539" i="17" s="1"/>
  <c r="P539" i="17"/>
  <c r="J539" i="17"/>
  <c r="H539" i="17" a="1"/>
  <c r="E539" i="17"/>
  <c r="X538" i="17" a="1"/>
  <c r="O538" i="17" s="1" a="1"/>
  <c r="T538" i="17"/>
  <c r="Q538" i="17"/>
  <c r="P538" i="17"/>
  <c r="H538" i="17" a="1"/>
  <c r="E538" i="17"/>
  <c r="Y537" i="17"/>
  <c r="X537" i="17" a="1"/>
  <c r="O537" i="17" s="1" a="1"/>
  <c r="Q537" i="17"/>
  <c r="U537" i="17" s="1"/>
  <c r="W537" i="17" s="1"/>
  <c r="P537" i="17"/>
  <c r="J537" i="17"/>
  <c r="H537" i="17" a="1"/>
  <c r="E537" i="17"/>
  <c r="Y536" i="17"/>
  <c r="X536" i="17" a="1"/>
  <c r="O536" i="17" s="1" a="1"/>
  <c r="T536" i="17"/>
  <c r="Q536" i="17"/>
  <c r="P536" i="17"/>
  <c r="J536" i="17"/>
  <c r="H536" i="17" a="1"/>
  <c r="E536" i="17"/>
  <c r="X535" i="17" a="1"/>
  <c r="O535" i="17" s="1" a="1"/>
  <c r="T535" i="17"/>
  <c r="U535" i="17" s="1"/>
  <c r="W535" i="17" s="1"/>
  <c r="P535" i="17"/>
  <c r="H535" i="17" a="1"/>
  <c r="E535" i="17"/>
  <c r="X534" i="17" a="1"/>
  <c r="O534" i="17" s="1" a="1"/>
  <c r="T534" i="17"/>
  <c r="U534" i="17" s="1"/>
  <c r="W534" i="17" s="1"/>
  <c r="P534" i="17"/>
  <c r="H534" i="17" a="1"/>
  <c r="E534" i="17"/>
  <c r="X533" i="17" a="1"/>
  <c r="O533" i="17" s="1" a="1"/>
  <c r="T533" i="17"/>
  <c r="U533" i="17" s="1"/>
  <c r="W533" i="17" s="1"/>
  <c r="P533" i="17"/>
  <c r="H533" i="17" a="1"/>
  <c r="E533" i="17"/>
  <c r="Y532" i="17"/>
  <c r="X532" i="17" a="1"/>
  <c r="O532" i="17" s="1" a="1"/>
  <c r="T532" i="17"/>
  <c r="R532" i="17"/>
  <c r="Q532" i="17"/>
  <c r="P532" i="17"/>
  <c r="H532" i="17" a="1"/>
  <c r="E532" i="17"/>
  <c r="X531" i="17" a="1"/>
  <c r="O531" i="17" s="1" a="1"/>
  <c r="T531" i="17"/>
  <c r="U531" i="17" s="1"/>
  <c r="W531" i="17" s="1"/>
  <c r="P531" i="17"/>
  <c r="H531" i="17" a="1"/>
  <c r="E531" i="17"/>
  <c r="X530" i="17" a="1"/>
  <c r="O530" i="17" s="1" a="1"/>
  <c r="T530" i="17"/>
  <c r="Q530" i="17"/>
  <c r="P530" i="17"/>
  <c r="H530" i="17" a="1"/>
  <c r="E530" i="17"/>
  <c r="X529" i="17" a="1"/>
  <c r="O529" i="17" s="1" a="1"/>
  <c r="T529" i="17"/>
  <c r="U529" i="17" s="1"/>
  <c r="W529" i="17" s="1"/>
  <c r="R529" i="17"/>
  <c r="P529" i="17"/>
  <c r="H529" i="17" a="1"/>
  <c r="E529" i="17"/>
  <c r="Y528" i="17"/>
  <c r="X528" i="17" a="1"/>
  <c r="O528" i="17" s="1" a="1"/>
  <c r="U528" i="17"/>
  <c r="W528" i="17" s="1"/>
  <c r="R528" i="17"/>
  <c r="P528" i="17"/>
  <c r="J528" i="17"/>
  <c r="H528" i="17" a="1"/>
  <c r="E528" i="17"/>
  <c r="X527" i="17" a="1"/>
  <c r="O527" i="17" s="1" a="1"/>
  <c r="T527" i="17"/>
  <c r="U527" i="17" s="1"/>
  <c r="W527" i="17" s="1"/>
  <c r="P527" i="17"/>
  <c r="H527" i="17" a="1"/>
  <c r="E527" i="17"/>
  <c r="X526" i="17" a="1"/>
  <c r="O526" i="17" s="1" a="1"/>
  <c r="T526" i="17"/>
  <c r="U526" i="17" s="1"/>
  <c r="W526" i="17" s="1"/>
  <c r="R526" i="17"/>
  <c r="P526" i="17"/>
  <c r="H526" i="17" a="1"/>
  <c r="E526" i="17"/>
  <c r="X525" i="17" a="1"/>
  <c r="O525" i="17" s="1" a="1"/>
  <c r="T525" i="17"/>
  <c r="Q525" i="17"/>
  <c r="P525" i="17"/>
  <c r="H525" i="17" a="1"/>
  <c r="E525" i="17"/>
  <c r="X524" i="17" a="1"/>
  <c r="O524" i="17" s="1" a="1"/>
  <c r="T524" i="17"/>
  <c r="U524" i="17" s="1"/>
  <c r="W524" i="17" s="1"/>
  <c r="P524" i="17"/>
  <c r="H524" i="17" a="1"/>
  <c r="E524" i="17"/>
  <c r="Y523" i="17"/>
  <c r="X523" i="17" a="1"/>
  <c r="O523" i="17" s="1" a="1"/>
  <c r="T523" i="17"/>
  <c r="U523" i="17" s="1"/>
  <c r="W523" i="17" s="1"/>
  <c r="P523" i="17"/>
  <c r="J523" i="17"/>
  <c r="H523" i="17" a="1"/>
  <c r="E523" i="17"/>
  <c r="X522" i="17" a="1"/>
  <c r="O522" i="17" s="1" a="1"/>
  <c r="T522" i="17"/>
  <c r="U522" i="17" s="1"/>
  <c r="W522" i="17" s="1"/>
  <c r="P522" i="17"/>
  <c r="H522" i="17" a="1"/>
  <c r="E522" i="17"/>
  <c r="X521" i="17" a="1"/>
  <c r="O521" i="17" s="1" a="1"/>
  <c r="T521" i="17"/>
  <c r="U521" i="17" s="1"/>
  <c r="W521" i="17" s="1"/>
  <c r="P521" i="17"/>
  <c r="H521" i="17" a="1"/>
  <c r="E521" i="17"/>
  <c r="X520" i="17" a="1"/>
  <c r="O520" i="17" s="1" a="1"/>
  <c r="T520" i="17"/>
  <c r="U520" i="17" s="1"/>
  <c r="W520" i="17" s="1"/>
  <c r="P520" i="17"/>
  <c r="H520" i="17" a="1"/>
  <c r="E520" i="17"/>
  <c r="Y519" i="17"/>
  <c r="X519" i="17" a="1"/>
  <c r="O519" i="17" s="1" a="1"/>
  <c r="T519" i="17"/>
  <c r="Q519" i="17"/>
  <c r="P519" i="17"/>
  <c r="J519" i="17"/>
  <c r="H519" i="17" a="1"/>
  <c r="E519" i="17"/>
  <c r="Y518" i="17"/>
  <c r="X518" i="17" a="1"/>
  <c r="O518" i="17" s="1" a="1"/>
  <c r="T518" i="17"/>
  <c r="R518" i="17"/>
  <c r="Q518" i="17"/>
  <c r="P518" i="17"/>
  <c r="J518" i="17"/>
  <c r="H518" i="17" a="1"/>
  <c r="E518" i="17"/>
  <c r="Y517" i="17"/>
  <c r="X517" i="17" a="1"/>
  <c r="O517" i="17" s="1" a="1"/>
  <c r="T517" i="17"/>
  <c r="U517" i="17" s="1"/>
  <c r="W517" i="17" s="1"/>
  <c r="P517" i="17"/>
  <c r="J517" i="17"/>
  <c r="H517" i="17" a="1"/>
  <c r="E517" i="17"/>
  <c r="X516" i="17" a="1"/>
  <c r="O516" i="17" s="1" a="1"/>
  <c r="T516" i="17"/>
  <c r="Q516" i="17"/>
  <c r="P516" i="17"/>
  <c r="H516" i="17" a="1"/>
  <c r="E516" i="17"/>
  <c r="Y515" i="17"/>
  <c r="X515" i="17" a="1"/>
  <c r="O515" i="17" s="1" a="1"/>
  <c r="T515" i="17"/>
  <c r="Q515" i="17"/>
  <c r="P515" i="17"/>
  <c r="J515" i="17"/>
  <c r="H515" i="17" a="1"/>
  <c r="E515" i="17"/>
  <c r="Y514" i="17"/>
  <c r="X514" i="17" a="1"/>
  <c r="O514" i="17" s="1" a="1"/>
  <c r="T514" i="17"/>
  <c r="Q514" i="17"/>
  <c r="P514" i="17"/>
  <c r="J514" i="17"/>
  <c r="H514" i="17" a="1"/>
  <c r="E514" i="17"/>
  <c r="X513" i="17" a="1"/>
  <c r="O513" i="17" s="1" a="1"/>
  <c r="T513" i="17"/>
  <c r="U513" i="17" s="1"/>
  <c r="W513" i="17" s="1"/>
  <c r="P513" i="17"/>
  <c r="H513" i="17" a="1"/>
  <c r="E513" i="17"/>
  <c r="X512" i="17" a="1"/>
  <c r="O512" i="17" s="1" a="1"/>
  <c r="T512" i="17"/>
  <c r="Q512" i="17"/>
  <c r="P512" i="17"/>
  <c r="J512" i="17"/>
  <c r="H512" i="17" a="1"/>
  <c r="E512" i="17"/>
  <c r="X511" i="17" a="1"/>
  <c r="O511" i="17" s="1" a="1"/>
  <c r="T511" i="17"/>
  <c r="Q511" i="17"/>
  <c r="P511" i="17"/>
  <c r="J511" i="17"/>
  <c r="H511" i="17" a="1"/>
  <c r="E511" i="17"/>
  <c r="X510" i="17" a="1"/>
  <c r="O510" i="17" s="1" a="1"/>
  <c r="T510" i="17"/>
  <c r="U510" i="17" s="1"/>
  <c r="W510" i="17" s="1"/>
  <c r="P510" i="17"/>
  <c r="H510" i="17" a="1"/>
  <c r="E510" i="17"/>
  <c r="X509" i="17" a="1"/>
  <c r="O509" i="17" s="1" a="1"/>
  <c r="T509" i="17"/>
  <c r="Q509" i="17"/>
  <c r="P509" i="17"/>
  <c r="H509" i="17" a="1"/>
  <c r="E509" i="17"/>
  <c r="X508" i="17" a="1"/>
  <c r="O508" i="17" s="1" a="1"/>
  <c r="T508" i="17"/>
  <c r="Q508" i="17"/>
  <c r="P508" i="17"/>
  <c r="H508" i="17" a="1"/>
  <c r="E508" i="17"/>
  <c r="X507" i="17" a="1"/>
  <c r="O507" i="17" s="1" a="1"/>
  <c r="T507" i="17"/>
  <c r="U507" i="17" s="1"/>
  <c r="W507" i="17" s="1"/>
  <c r="P507" i="17"/>
  <c r="H507" i="17" a="1"/>
  <c r="E507" i="17"/>
  <c r="X506" i="17" a="1"/>
  <c r="O506" i="17" s="1" a="1"/>
  <c r="T506" i="17"/>
  <c r="U506" i="17" s="1"/>
  <c r="W506" i="17" s="1"/>
  <c r="R506" i="17"/>
  <c r="P506" i="17"/>
  <c r="H506" i="17" a="1"/>
  <c r="E506" i="17"/>
  <c r="X505" i="17" a="1"/>
  <c r="O505" i="17" s="1" a="1"/>
  <c r="R505" i="17"/>
  <c r="Q505" i="17"/>
  <c r="U505" i="17" s="1"/>
  <c r="W505" i="17" s="1"/>
  <c r="P505" i="17"/>
  <c r="H505" i="17" a="1"/>
  <c r="E505" i="17"/>
  <c r="Y504" i="17"/>
  <c r="X504" i="17" a="1"/>
  <c r="O504" i="17" s="1" a="1"/>
  <c r="U504" i="17"/>
  <c r="W504" i="17" s="1"/>
  <c r="P504" i="17"/>
  <c r="J504" i="17"/>
  <c r="H504" i="17" a="1"/>
  <c r="E504" i="17"/>
  <c r="Y503" i="17"/>
  <c r="X503" i="17" a="1"/>
  <c r="O503" i="17" s="1" a="1"/>
  <c r="T503" i="17"/>
  <c r="U503" i="17" s="1"/>
  <c r="W503" i="17" s="1"/>
  <c r="R503" i="17"/>
  <c r="P503" i="17"/>
  <c r="J503" i="17"/>
  <c r="H503" i="17" a="1"/>
  <c r="E503" i="17"/>
  <c r="Y502" i="17"/>
  <c r="X502" i="17" a="1"/>
  <c r="O502" i="17" s="1" a="1"/>
  <c r="T502" i="17"/>
  <c r="U502" i="17" s="1"/>
  <c r="W502" i="17" s="1"/>
  <c r="R502" i="17"/>
  <c r="P502" i="17"/>
  <c r="J502" i="17"/>
  <c r="H502" i="17" a="1"/>
  <c r="E502" i="17"/>
  <c r="X501" i="17" a="1"/>
  <c r="O501" i="17" s="1" a="1"/>
  <c r="T501" i="17"/>
  <c r="U501" i="17" s="1"/>
  <c r="W501" i="17" s="1"/>
  <c r="P501" i="17"/>
  <c r="H501" i="17" a="1"/>
  <c r="E501" i="17"/>
  <c r="X500" i="17" a="1"/>
  <c r="O500" i="17" s="1" a="1"/>
  <c r="T500" i="17"/>
  <c r="U500" i="17" s="1"/>
  <c r="W500" i="17" s="1"/>
  <c r="P500" i="17"/>
  <c r="H500" i="17" a="1"/>
  <c r="E500" i="17"/>
  <c r="X499" i="17" a="1"/>
  <c r="O499" i="17" s="1" a="1"/>
  <c r="T499" i="17"/>
  <c r="U499" i="17" s="1"/>
  <c r="W499" i="17" s="1"/>
  <c r="P499" i="17"/>
  <c r="H499" i="17" a="1"/>
  <c r="E499" i="17"/>
  <c r="X498" i="17" a="1"/>
  <c r="O498" i="17" s="1" a="1"/>
  <c r="T498" i="17"/>
  <c r="U498" i="17" s="1"/>
  <c r="W498" i="17" s="1"/>
  <c r="P498" i="17"/>
  <c r="H498" i="17" a="1"/>
  <c r="E498" i="17"/>
  <c r="X497" i="17" a="1"/>
  <c r="O497" i="17" s="1" a="1"/>
  <c r="T497" i="17"/>
  <c r="U497" i="17" s="1"/>
  <c r="W497" i="17" s="1"/>
  <c r="P497" i="17"/>
  <c r="H497" i="17" a="1"/>
  <c r="E497" i="17"/>
  <c r="X496" i="17" a="1"/>
  <c r="O496" i="17" s="1" a="1"/>
  <c r="T496" i="17"/>
  <c r="U496" i="17" s="1"/>
  <c r="W496" i="17" s="1"/>
  <c r="P496" i="17"/>
  <c r="H496" i="17" a="1"/>
  <c r="E496" i="17"/>
  <c r="Y495" i="17"/>
  <c r="X495" i="17" a="1"/>
  <c r="O495" i="17" s="1" a="1"/>
  <c r="T495" i="17"/>
  <c r="U495" i="17" s="1"/>
  <c r="W495" i="17" s="1"/>
  <c r="P495" i="17"/>
  <c r="J495" i="17"/>
  <c r="H495" i="17" a="1"/>
  <c r="E495" i="17"/>
  <c r="Y494" i="17"/>
  <c r="X494" i="17" a="1"/>
  <c r="O494" i="17" s="1" a="1"/>
  <c r="T494" i="17"/>
  <c r="U494" i="17" s="1"/>
  <c r="W494" i="17" s="1"/>
  <c r="P494" i="17"/>
  <c r="J494" i="17"/>
  <c r="H494" i="17" a="1"/>
  <c r="E494" i="17"/>
  <c r="X493" i="17" a="1"/>
  <c r="O493" i="17" s="1" a="1"/>
  <c r="T493" i="17"/>
  <c r="U493" i="17" s="1"/>
  <c r="W493" i="17" s="1"/>
  <c r="P493" i="17"/>
  <c r="H493" i="17" a="1"/>
  <c r="E493" i="17"/>
  <c r="Y492" i="17"/>
  <c r="X492" i="17" a="1"/>
  <c r="O492" i="17" s="1" a="1"/>
  <c r="T492" i="17"/>
  <c r="Q492" i="17"/>
  <c r="P492" i="17"/>
  <c r="H492" i="17" a="1"/>
  <c r="E492" i="17"/>
  <c r="X491" i="17" a="1"/>
  <c r="O491" i="17" s="1" a="1"/>
  <c r="T491" i="17"/>
  <c r="U491" i="17" s="1"/>
  <c r="W491" i="17" s="1"/>
  <c r="P491" i="17"/>
  <c r="H491" i="17" a="1"/>
  <c r="E491" i="17"/>
  <c r="X490" i="17" a="1"/>
  <c r="O490" i="17" s="1" a="1"/>
  <c r="T490" i="17"/>
  <c r="U490" i="17" s="1"/>
  <c r="W490" i="17" s="1"/>
  <c r="P490" i="17"/>
  <c r="H490" i="17" a="1"/>
  <c r="E490" i="17"/>
  <c r="X489" i="17" a="1"/>
  <c r="O489" i="17" s="1" a="1"/>
  <c r="T489" i="17"/>
  <c r="U489" i="17" s="1"/>
  <c r="W489" i="17" s="1"/>
  <c r="P489" i="17"/>
  <c r="H489" i="17" a="1"/>
  <c r="E489" i="17"/>
  <c r="X488" i="17" a="1"/>
  <c r="O488" i="17" s="1" a="1"/>
  <c r="T488" i="17"/>
  <c r="U488" i="17" s="1"/>
  <c r="W488" i="17" s="1"/>
  <c r="P488" i="17"/>
  <c r="H488" i="17" a="1"/>
  <c r="E488" i="17"/>
  <c r="Y487" i="17"/>
  <c r="X487" i="17" a="1"/>
  <c r="O487" i="17" s="1" a="1"/>
  <c r="T487" i="17"/>
  <c r="U487" i="17" s="1"/>
  <c r="W487" i="17" s="1"/>
  <c r="R487" i="17"/>
  <c r="P487" i="17"/>
  <c r="J487" i="17"/>
  <c r="H487" i="17" a="1"/>
  <c r="E487" i="17"/>
  <c r="Y486" i="17"/>
  <c r="X486" i="17" a="1"/>
  <c r="O486" i="17" s="1" a="1"/>
  <c r="T486" i="17"/>
  <c r="U486" i="17" s="1"/>
  <c r="W486" i="17" s="1"/>
  <c r="P486" i="17"/>
  <c r="J486" i="17"/>
  <c r="H486" i="17" a="1"/>
  <c r="E486" i="17"/>
  <c r="Y485" i="17"/>
  <c r="X485" i="17" a="1"/>
  <c r="O485" i="17" s="1" a="1"/>
  <c r="T485" i="17"/>
  <c r="U485" i="17" s="1"/>
  <c r="W485" i="17" s="1"/>
  <c r="P485" i="17"/>
  <c r="H485" i="17" a="1"/>
  <c r="E485" i="17"/>
  <c r="X484" i="17" a="1"/>
  <c r="O484" i="17" s="1" a="1"/>
  <c r="T484" i="17"/>
  <c r="U484" i="17" s="1"/>
  <c r="W484" i="17" s="1"/>
  <c r="P484" i="17"/>
  <c r="H484" i="17" a="1"/>
  <c r="E484" i="17"/>
  <c r="X483" i="17" a="1"/>
  <c r="O483" i="17" s="1" a="1"/>
  <c r="T483" i="17"/>
  <c r="U483" i="17" s="1"/>
  <c r="W483" i="17" s="1"/>
  <c r="R483" i="17"/>
  <c r="P483" i="17"/>
  <c r="H483" i="17" a="1"/>
  <c r="E483" i="17"/>
  <c r="X482" i="17" a="1"/>
  <c r="O482" i="17" s="1" a="1"/>
  <c r="T482" i="17"/>
  <c r="U482" i="17" s="1"/>
  <c r="W482" i="17" s="1"/>
  <c r="P482" i="17"/>
  <c r="H482" i="17" a="1"/>
  <c r="E482" i="17"/>
  <c r="X481" i="17" a="1"/>
  <c r="O481" i="17" s="1" a="1"/>
  <c r="T481" i="17"/>
  <c r="R481" i="17"/>
  <c r="Q481" i="17"/>
  <c r="P481" i="17"/>
  <c r="H481" i="17" a="1"/>
  <c r="E481" i="17"/>
  <c r="X480" i="17" a="1"/>
  <c r="O480" i="17" s="1" a="1"/>
  <c r="T480" i="17"/>
  <c r="U480" i="17" s="1"/>
  <c r="W480" i="17" s="1"/>
  <c r="P480" i="17"/>
  <c r="H480" i="17" a="1"/>
  <c r="E480" i="17"/>
  <c r="X479" i="17" a="1"/>
  <c r="O479" i="17" s="1" a="1"/>
  <c r="T479" i="17"/>
  <c r="U479" i="17" s="1"/>
  <c r="W479" i="17" s="1"/>
  <c r="P479" i="17"/>
  <c r="H479" i="17" a="1"/>
  <c r="E479" i="17"/>
  <c r="Y478" i="17"/>
  <c r="X478" i="17" a="1"/>
  <c r="O478" i="17" s="1" a="1"/>
  <c r="T478" i="17"/>
  <c r="U478" i="17" s="1"/>
  <c r="W478" i="17" s="1"/>
  <c r="P478" i="17"/>
  <c r="J478" i="17"/>
  <c r="H478" i="17" a="1"/>
  <c r="E478" i="17"/>
  <c r="X477" i="17" a="1"/>
  <c r="O477" i="17" s="1" a="1"/>
  <c r="T477" i="17"/>
  <c r="U477" i="17" s="1"/>
  <c r="W477" i="17" s="1"/>
  <c r="P477" i="17"/>
  <c r="H477" i="17" a="1"/>
  <c r="E477" i="17"/>
  <c r="X476" i="17" a="1"/>
  <c r="O476" i="17" s="1" a="1"/>
  <c r="T476" i="17"/>
  <c r="U476" i="17" s="1"/>
  <c r="W476" i="17" s="1"/>
  <c r="P476" i="17"/>
  <c r="J476" i="17"/>
  <c r="H476" i="17" a="1"/>
  <c r="E476" i="17"/>
  <c r="X475" i="17" a="1"/>
  <c r="O475" i="17" s="1" a="1"/>
  <c r="T475" i="17"/>
  <c r="U475" i="17" s="1"/>
  <c r="W475" i="17" s="1"/>
  <c r="P475" i="17"/>
  <c r="J475" i="17"/>
  <c r="H475" i="17" a="1"/>
  <c r="E475" i="17"/>
  <c r="X474" i="17" a="1"/>
  <c r="O474" i="17" s="1" a="1"/>
  <c r="T474" i="17"/>
  <c r="U474" i="17" s="1"/>
  <c r="W474" i="17" s="1"/>
  <c r="P474" i="17"/>
  <c r="H474" i="17" a="1"/>
  <c r="E474" i="17"/>
  <c r="X473" i="17" a="1"/>
  <c r="O473" i="17" s="1" a="1"/>
  <c r="T473" i="17"/>
  <c r="U473" i="17" s="1"/>
  <c r="W473" i="17" s="1"/>
  <c r="P473" i="17"/>
  <c r="H473" i="17" a="1"/>
  <c r="E473" i="17"/>
  <c r="X472" i="17" a="1"/>
  <c r="O472" i="17" s="1" a="1"/>
  <c r="T472" i="17"/>
  <c r="U472" i="17" s="1"/>
  <c r="W472" i="17" s="1"/>
  <c r="P472" i="17"/>
  <c r="H472" i="17" a="1"/>
  <c r="E472" i="17"/>
  <c r="X471" i="17" a="1"/>
  <c r="O471" i="17" s="1" a="1"/>
  <c r="T471" i="17"/>
  <c r="U471" i="17" s="1"/>
  <c r="W471" i="17" s="1"/>
  <c r="R471" i="17"/>
  <c r="P471" i="17"/>
  <c r="H471" i="17" a="1"/>
  <c r="E471" i="17"/>
  <c r="Y470" i="17"/>
  <c r="X470" i="17" a="1"/>
  <c r="O470" i="17" s="1" a="1"/>
  <c r="T470" i="17"/>
  <c r="Q470" i="17"/>
  <c r="P470" i="17"/>
  <c r="J470" i="17"/>
  <c r="H470" i="17" a="1"/>
  <c r="E470" i="17"/>
  <c r="X469" i="17" a="1"/>
  <c r="O469" i="17" s="1" a="1"/>
  <c r="T469" i="17"/>
  <c r="U469" i="17" s="1"/>
  <c r="W469" i="17" s="1"/>
  <c r="P469" i="17"/>
  <c r="J469" i="17"/>
  <c r="Y469" i="17" s="1"/>
  <c r="H469" i="17" a="1"/>
  <c r="E469" i="17"/>
  <c r="X468" i="17" a="1"/>
  <c r="O468" i="17" s="1" a="1"/>
  <c r="T468" i="17"/>
  <c r="R468" i="17"/>
  <c r="Q468" i="17"/>
  <c r="P468" i="17"/>
  <c r="J468" i="17"/>
  <c r="Y468" i="17" s="1"/>
  <c r="H468" i="17" a="1"/>
  <c r="E468" i="17"/>
  <c r="X467" i="17" a="1"/>
  <c r="O467" i="17" s="1" a="1"/>
  <c r="T467" i="17"/>
  <c r="U467" i="17" s="1"/>
  <c r="W467" i="17" s="1"/>
  <c r="P467" i="17"/>
  <c r="H467" i="17" a="1"/>
  <c r="E467" i="17"/>
  <c r="Y466" i="17"/>
  <c r="X466" i="17" a="1"/>
  <c r="O466" i="17" s="1" a="1"/>
  <c r="T466" i="17"/>
  <c r="U466" i="17" s="1"/>
  <c r="W466" i="17" s="1"/>
  <c r="R466" i="17"/>
  <c r="P466" i="17"/>
  <c r="J466" i="17"/>
  <c r="H466" i="17" a="1"/>
  <c r="E466" i="17"/>
  <c r="Y465" i="17"/>
  <c r="X465" i="17" a="1"/>
  <c r="O465" i="17" s="1" a="1"/>
  <c r="T465" i="17"/>
  <c r="U465" i="17" s="1"/>
  <c r="W465" i="17" s="1"/>
  <c r="P465" i="17"/>
  <c r="H465" i="17" a="1"/>
  <c r="E465" i="17"/>
  <c r="X464" i="17" a="1"/>
  <c r="O464" i="17" s="1" a="1"/>
  <c r="T464" i="17"/>
  <c r="R464" i="17"/>
  <c r="Q464" i="17"/>
  <c r="P464" i="17"/>
  <c r="H464" i="17" a="1"/>
  <c r="E464" i="17"/>
  <c r="X463" i="17" a="1"/>
  <c r="O463" i="17" s="1" a="1"/>
  <c r="T463" i="17"/>
  <c r="R463" i="17"/>
  <c r="Q463" i="17"/>
  <c r="P463" i="17"/>
  <c r="H463" i="17" a="1"/>
  <c r="E463" i="17"/>
  <c r="X462" i="17" a="1"/>
  <c r="O462" i="17" s="1" a="1"/>
  <c r="T462" i="17"/>
  <c r="U462" i="17" s="1"/>
  <c r="W462" i="17" s="1"/>
  <c r="R462" i="17"/>
  <c r="P462" i="17"/>
  <c r="H462" i="17" a="1"/>
  <c r="E462" i="17"/>
  <c r="X461" i="17" a="1"/>
  <c r="O461" i="17" s="1" a="1"/>
  <c r="T461" i="17"/>
  <c r="Q461" i="17"/>
  <c r="P461" i="17"/>
  <c r="H461" i="17" a="1"/>
  <c r="E461" i="17"/>
  <c r="Y460" i="17"/>
  <c r="X460" i="17" a="1"/>
  <c r="O460" i="17" s="1" a="1"/>
  <c r="T460" i="17"/>
  <c r="Q460" i="17"/>
  <c r="P460" i="17"/>
  <c r="H460" i="17" a="1"/>
  <c r="E460" i="17"/>
  <c r="Y459" i="17"/>
  <c r="X459" i="17" a="1"/>
  <c r="O459" i="17" s="1" a="1"/>
  <c r="T459" i="17"/>
  <c r="Q459" i="17"/>
  <c r="P459" i="17"/>
  <c r="H459" i="17" a="1"/>
  <c r="E459" i="17"/>
  <c r="X458" i="17" a="1"/>
  <c r="O458" i="17" s="1" a="1"/>
  <c r="T458" i="17"/>
  <c r="Q458" i="17"/>
  <c r="P458" i="17"/>
  <c r="H458" i="17" a="1"/>
  <c r="E458" i="17"/>
  <c r="X457" i="17" a="1"/>
  <c r="O457" i="17" s="1" a="1"/>
  <c r="T457" i="17"/>
  <c r="Q457" i="17"/>
  <c r="P457" i="17"/>
  <c r="H457" i="17" a="1"/>
  <c r="E457" i="17"/>
  <c r="Y456" i="17"/>
  <c r="X456" i="17" a="1"/>
  <c r="O456" i="17" s="1" a="1"/>
  <c r="T456" i="17"/>
  <c r="Q456" i="17"/>
  <c r="P456" i="17"/>
  <c r="J456" i="17"/>
  <c r="H456" i="17" a="1"/>
  <c r="E456" i="17"/>
  <c r="X455" i="17" a="1"/>
  <c r="O455" i="17" s="1" a="1"/>
  <c r="T455" i="17"/>
  <c r="Q455" i="17"/>
  <c r="P455" i="17"/>
  <c r="H455" i="17" a="1"/>
  <c r="E455" i="17"/>
  <c r="X454" i="17" a="1"/>
  <c r="O454" i="17" s="1" a="1"/>
  <c r="T454" i="17"/>
  <c r="Q454" i="17"/>
  <c r="P454" i="17"/>
  <c r="H454" i="17" a="1"/>
  <c r="E454" i="17"/>
  <c r="Y453" i="17"/>
  <c r="X453" i="17" a="1"/>
  <c r="O453" i="17" s="1" a="1"/>
  <c r="T453" i="17"/>
  <c r="Q453" i="17"/>
  <c r="P453" i="17"/>
  <c r="J453" i="17"/>
  <c r="H453" i="17" a="1"/>
  <c r="E453" i="17"/>
  <c r="X452" i="17" a="1"/>
  <c r="O452" i="17" s="1" a="1"/>
  <c r="U452" i="17"/>
  <c r="W452" i="17" s="1"/>
  <c r="P452" i="17"/>
  <c r="H452" i="17" a="1"/>
  <c r="E452" i="17"/>
  <c r="X451" i="17" a="1"/>
  <c r="O451" i="17" s="1" a="1"/>
  <c r="U451" i="17"/>
  <c r="W451" i="17" s="1"/>
  <c r="P451" i="17"/>
  <c r="H451" i="17" a="1"/>
  <c r="E451" i="17"/>
  <c r="X450" i="17" a="1"/>
  <c r="O450" i="17" s="1" a="1"/>
  <c r="U450" i="17"/>
  <c r="W450" i="17" s="1"/>
  <c r="P450" i="17"/>
  <c r="H450" i="17" a="1"/>
  <c r="E450" i="17"/>
  <c r="X449" i="17" a="1"/>
  <c r="O449" i="17" s="1" a="1"/>
  <c r="U449" i="17"/>
  <c r="W449" i="17" s="1"/>
  <c r="P449" i="17"/>
  <c r="H449" i="17" a="1"/>
  <c r="E449" i="17"/>
  <c r="X448" i="17" a="1"/>
  <c r="O448" i="17" s="1" a="1"/>
  <c r="U448" i="17"/>
  <c r="W448" i="17" s="1"/>
  <c r="P448" i="17"/>
  <c r="H448" i="17" a="1"/>
  <c r="E448" i="17"/>
  <c r="X447" i="17" a="1"/>
  <c r="O447" i="17" s="1" a="1"/>
  <c r="U447" i="17"/>
  <c r="W447" i="17" s="1"/>
  <c r="P447" i="17"/>
  <c r="H447" i="17" a="1"/>
  <c r="E447" i="17"/>
  <c r="X446" i="17" a="1"/>
  <c r="O446" i="17" s="1" a="1"/>
  <c r="U446" i="17"/>
  <c r="W446" i="17" s="1"/>
  <c r="P446" i="17"/>
  <c r="H446" i="17" a="1"/>
  <c r="E446" i="17"/>
  <c r="X445" i="17" a="1"/>
  <c r="O445" i="17" s="1" a="1"/>
  <c r="U445" i="17"/>
  <c r="W445" i="17" s="1"/>
  <c r="P445" i="17"/>
  <c r="H445" i="17" a="1"/>
  <c r="E445" i="17"/>
  <c r="X444" i="17" a="1"/>
  <c r="O444" i="17" s="1" a="1"/>
  <c r="U444" i="17"/>
  <c r="W444" i="17" s="1"/>
  <c r="P444" i="17"/>
  <c r="H444" i="17" a="1"/>
  <c r="E444" i="17"/>
  <c r="X443" i="17" a="1"/>
  <c r="O443" i="17" s="1" a="1"/>
  <c r="U443" i="17"/>
  <c r="W443" i="17" s="1"/>
  <c r="P443" i="17"/>
  <c r="H443" i="17" a="1"/>
  <c r="E443" i="17"/>
  <c r="X442" i="17" a="1"/>
  <c r="O442" i="17" s="1" a="1"/>
  <c r="U442" i="17"/>
  <c r="W442" i="17" s="1"/>
  <c r="P442" i="17"/>
  <c r="H442" i="17" a="1"/>
  <c r="E442" i="17"/>
  <c r="X441" i="17" a="1"/>
  <c r="O441" i="17" s="1" a="1"/>
  <c r="U441" i="17"/>
  <c r="W441" i="17" s="1"/>
  <c r="P441" i="17"/>
  <c r="H441" i="17" a="1"/>
  <c r="E441" i="17"/>
  <c r="X440" i="17" a="1"/>
  <c r="O440" i="17" s="1" a="1"/>
  <c r="U440" i="17"/>
  <c r="W440" i="17" s="1"/>
  <c r="P440" i="17"/>
  <c r="H440" i="17" a="1"/>
  <c r="E440" i="17"/>
  <c r="X439" i="17" a="1"/>
  <c r="O439" i="17" s="1" a="1"/>
  <c r="U439" i="17"/>
  <c r="W439" i="17" s="1"/>
  <c r="P439" i="17"/>
  <c r="H439" i="17" a="1"/>
  <c r="E439" i="17"/>
  <c r="X438" i="17" a="1"/>
  <c r="O438" i="17" s="1" a="1"/>
  <c r="U438" i="17"/>
  <c r="W438" i="17" s="1"/>
  <c r="P438" i="17"/>
  <c r="H438" i="17" a="1"/>
  <c r="E438" i="17"/>
  <c r="X437" i="17" a="1"/>
  <c r="O437" i="17" s="1" a="1"/>
  <c r="U437" i="17"/>
  <c r="W437" i="17" s="1"/>
  <c r="P437" i="17"/>
  <c r="H437" i="17" a="1"/>
  <c r="E437" i="17"/>
  <c r="X436" i="17" a="1"/>
  <c r="O436" i="17" s="1" a="1"/>
  <c r="U436" i="17"/>
  <c r="W436" i="17" s="1"/>
  <c r="P436" i="17"/>
  <c r="H436" i="17" a="1"/>
  <c r="E436" i="17"/>
  <c r="X435" i="17" a="1"/>
  <c r="O435" i="17" s="1" a="1"/>
  <c r="U435" i="17"/>
  <c r="W435" i="17" s="1"/>
  <c r="P435" i="17"/>
  <c r="H435" i="17" a="1"/>
  <c r="E435" i="17"/>
  <c r="X434" i="17" a="1"/>
  <c r="O434" i="17" s="1" a="1"/>
  <c r="U434" i="17"/>
  <c r="W434" i="17" s="1"/>
  <c r="P434" i="17"/>
  <c r="H434" i="17" a="1"/>
  <c r="E434" i="17"/>
  <c r="X433" i="17" a="1"/>
  <c r="O433" i="17" s="1" a="1"/>
  <c r="U433" i="17"/>
  <c r="W433" i="17" s="1"/>
  <c r="P433" i="17"/>
  <c r="H433" i="17" a="1"/>
  <c r="E433" i="17"/>
  <c r="X432" i="17" a="1"/>
  <c r="O432" i="17" s="1" a="1"/>
  <c r="U432" i="17"/>
  <c r="W432" i="17" s="1"/>
  <c r="P432" i="17"/>
  <c r="H432" i="17" a="1"/>
  <c r="E432" i="17"/>
  <c r="X431" i="17" a="1"/>
  <c r="O431" i="17" s="1" a="1"/>
  <c r="U431" i="17"/>
  <c r="W431" i="17" s="1"/>
  <c r="P431" i="17"/>
  <c r="H431" i="17" a="1"/>
  <c r="E431" i="17"/>
  <c r="X430" i="17" a="1"/>
  <c r="O430" i="17" s="1" a="1"/>
  <c r="U430" i="17"/>
  <c r="W430" i="17" s="1"/>
  <c r="P430" i="17"/>
  <c r="H430" i="17" a="1"/>
  <c r="E430" i="17"/>
  <c r="X429" i="17" a="1"/>
  <c r="O429" i="17" s="1" a="1"/>
  <c r="U429" i="17"/>
  <c r="W429" i="17" s="1"/>
  <c r="P429" i="17"/>
  <c r="H429" i="17" a="1"/>
  <c r="E429" i="17"/>
  <c r="X428" i="17" a="1"/>
  <c r="O428" i="17" s="1" a="1"/>
  <c r="U428" i="17"/>
  <c r="W428" i="17" s="1"/>
  <c r="P428" i="17"/>
  <c r="H428" i="17" a="1"/>
  <c r="E428" i="17"/>
  <c r="X427" i="17" a="1"/>
  <c r="O427" i="17" s="1" a="1"/>
  <c r="U427" i="17"/>
  <c r="W427" i="17" s="1"/>
  <c r="P427" i="17"/>
  <c r="H427" i="17" a="1"/>
  <c r="E427" i="17"/>
  <c r="X426" i="17" a="1"/>
  <c r="O426" i="17" s="1" a="1"/>
  <c r="U426" i="17"/>
  <c r="W426" i="17" s="1"/>
  <c r="P426" i="17"/>
  <c r="H426" i="17" a="1"/>
  <c r="E426" i="17"/>
  <c r="X425" i="17" a="1"/>
  <c r="O425" i="17" s="1" a="1"/>
  <c r="U425" i="17"/>
  <c r="W425" i="17" s="1"/>
  <c r="P425" i="17"/>
  <c r="H425" i="17" a="1"/>
  <c r="E425" i="17"/>
  <c r="X424" i="17" a="1"/>
  <c r="O424" i="17" s="1" a="1"/>
  <c r="U424" i="17"/>
  <c r="W424" i="17" s="1"/>
  <c r="P424" i="17"/>
  <c r="H424" i="17" a="1"/>
  <c r="E424" i="17"/>
  <c r="X423" i="17" a="1"/>
  <c r="O423" i="17" s="1" a="1"/>
  <c r="U423" i="17"/>
  <c r="W423" i="17" s="1"/>
  <c r="P423" i="17"/>
  <c r="H423" i="17" a="1"/>
  <c r="E423" i="17"/>
  <c r="X422" i="17" a="1"/>
  <c r="O422" i="17" s="1" a="1"/>
  <c r="U422" i="17"/>
  <c r="W422" i="17" s="1"/>
  <c r="P422" i="17"/>
  <c r="H422" i="17" a="1"/>
  <c r="E422" i="17"/>
  <c r="X421" i="17" a="1"/>
  <c r="O421" i="17" s="1" a="1"/>
  <c r="U421" i="17"/>
  <c r="W421" i="17" s="1"/>
  <c r="P421" i="17"/>
  <c r="H421" i="17" a="1"/>
  <c r="E421" i="17"/>
  <c r="X420" i="17" a="1"/>
  <c r="O420" i="17" s="1" a="1"/>
  <c r="U420" i="17"/>
  <c r="W420" i="17" s="1"/>
  <c r="P420" i="17"/>
  <c r="H420" i="17" a="1"/>
  <c r="E420" i="17"/>
  <c r="X419" i="17" a="1"/>
  <c r="O419" i="17" s="1" a="1"/>
  <c r="U419" i="17"/>
  <c r="W419" i="17" s="1"/>
  <c r="P419" i="17"/>
  <c r="H419" i="17" a="1"/>
  <c r="E419" i="17"/>
  <c r="X418" i="17" a="1"/>
  <c r="O418" i="17" s="1" a="1"/>
  <c r="U418" i="17"/>
  <c r="W418" i="17" s="1"/>
  <c r="P418" i="17"/>
  <c r="H418" i="17" a="1"/>
  <c r="E418" i="17"/>
  <c r="X417" i="17" a="1"/>
  <c r="O417" i="17" s="1" a="1"/>
  <c r="U417" i="17"/>
  <c r="W417" i="17" s="1"/>
  <c r="P417" i="17"/>
  <c r="H417" i="17" a="1"/>
  <c r="E417" i="17"/>
  <c r="X416" i="17" a="1"/>
  <c r="O416" i="17" s="1" a="1"/>
  <c r="U416" i="17"/>
  <c r="W416" i="17" s="1"/>
  <c r="P416" i="17"/>
  <c r="H416" i="17" a="1"/>
  <c r="E416" i="17"/>
  <c r="X415" i="17" a="1"/>
  <c r="O415" i="17" s="1" a="1"/>
  <c r="U415" i="17"/>
  <c r="W415" i="17" s="1"/>
  <c r="P415" i="17"/>
  <c r="H415" i="17" a="1"/>
  <c r="E415" i="17"/>
  <c r="X414" i="17" a="1"/>
  <c r="O414" i="17" s="1" a="1"/>
  <c r="U414" i="17"/>
  <c r="W414" i="17" s="1"/>
  <c r="P414" i="17"/>
  <c r="H414" i="17" a="1"/>
  <c r="E414" i="17"/>
  <c r="X413" i="17" a="1"/>
  <c r="O413" i="17" s="1" a="1"/>
  <c r="U413" i="17"/>
  <c r="W413" i="17" s="1"/>
  <c r="P413" i="17"/>
  <c r="H413" i="17" a="1"/>
  <c r="E413" i="17"/>
  <c r="X412" i="17" a="1"/>
  <c r="O412" i="17" s="1" a="1"/>
  <c r="U412" i="17"/>
  <c r="W412" i="17" s="1"/>
  <c r="P412" i="17"/>
  <c r="H412" i="17" a="1"/>
  <c r="E412" i="17"/>
  <c r="X411" i="17" a="1"/>
  <c r="O411" i="17" s="1" a="1"/>
  <c r="U411" i="17"/>
  <c r="W411" i="17" s="1"/>
  <c r="P411" i="17"/>
  <c r="H411" i="17" a="1"/>
  <c r="E411" i="17"/>
  <c r="X410" i="17" a="1"/>
  <c r="O410" i="17" s="1" a="1"/>
  <c r="U410" i="17"/>
  <c r="W410" i="17" s="1"/>
  <c r="P410" i="17"/>
  <c r="H410" i="17" a="1"/>
  <c r="E410" i="17"/>
  <c r="X409" i="17" a="1"/>
  <c r="O409" i="17" s="1" a="1"/>
  <c r="U409" i="17"/>
  <c r="W409" i="17" s="1"/>
  <c r="P409" i="17"/>
  <c r="H409" i="17" a="1"/>
  <c r="E409" i="17"/>
  <c r="X408" i="17" a="1"/>
  <c r="O408" i="17" s="1" a="1"/>
  <c r="U408" i="17"/>
  <c r="W408" i="17" s="1"/>
  <c r="P408" i="17"/>
  <c r="H408" i="17" a="1"/>
  <c r="E408" i="17"/>
  <c r="X407" i="17" a="1"/>
  <c r="O407" i="17" s="1" a="1"/>
  <c r="U407" i="17"/>
  <c r="W407" i="17" s="1"/>
  <c r="P407" i="17"/>
  <c r="H407" i="17" a="1"/>
  <c r="E407" i="17"/>
  <c r="X406" i="17" a="1"/>
  <c r="O406" i="17" s="1" a="1"/>
  <c r="T406" i="17"/>
  <c r="R406" i="17"/>
  <c r="Q406" i="17"/>
  <c r="P406" i="17"/>
  <c r="H406" i="17" a="1"/>
  <c r="E406" i="17"/>
  <c r="X405" i="17" a="1"/>
  <c r="O405" i="17" s="1" a="1"/>
  <c r="U405" i="17"/>
  <c r="W405" i="17" s="1"/>
  <c r="P405" i="17"/>
  <c r="H405" i="17" a="1"/>
  <c r="E405" i="17"/>
  <c r="X404" i="17" a="1"/>
  <c r="O404" i="17" s="1" a="1"/>
  <c r="U404" i="17"/>
  <c r="W404" i="17" s="1"/>
  <c r="P404" i="17"/>
  <c r="H404" i="17" a="1"/>
  <c r="E404" i="17"/>
  <c r="X403" i="17" a="1"/>
  <c r="O403" i="17" s="1" a="1"/>
  <c r="U403" i="17"/>
  <c r="W403" i="17" s="1"/>
  <c r="P403" i="17"/>
  <c r="H403" i="17" a="1"/>
  <c r="E403" i="17"/>
  <c r="X402" i="17" a="1"/>
  <c r="O402" i="17" s="1" a="1"/>
  <c r="U402" i="17"/>
  <c r="W402" i="17" s="1"/>
  <c r="P402" i="17"/>
  <c r="H402" i="17" a="1"/>
  <c r="E402" i="17"/>
  <c r="X401" i="17" a="1"/>
  <c r="O401" i="17" s="1" a="1"/>
  <c r="U401" i="17"/>
  <c r="W401" i="17" s="1"/>
  <c r="P401" i="17"/>
  <c r="H401" i="17" a="1"/>
  <c r="E401" i="17"/>
  <c r="X400" i="17" a="1"/>
  <c r="O400" i="17" s="1" a="1"/>
  <c r="U400" i="17"/>
  <c r="W400" i="17" s="1"/>
  <c r="P400" i="17"/>
  <c r="H400" i="17" a="1"/>
  <c r="E400" i="17"/>
  <c r="X399" i="17" a="1"/>
  <c r="O399" i="17" s="1" a="1"/>
  <c r="U399" i="17"/>
  <c r="W399" i="17" s="1"/>
  <c r="P399" i="17"/>
  <c r="H399" i="17" a="1"/>
  <c r="E399" i="17"/>
  <c r="X398" i="17" a="1"/>
  <c r="O398" i="17" s="1" a="1"/>
  <c r="U398" i="17"/>
  <c r="W398" i="17" s="1"/>
  <c r="P398" i="17"/>
  <c r="H398" i="17" a="1"/>
  <c r="E398" i="17"/>
  <c r="X397" i="17" a="1"/>
  <c r="O397" i="17" s="1" a="1"/>
  <c r="U397" i="17"/>
  <c r="W397" i="17" s="1"/>
  <c r="P397" i="17"/>
  <c r="H397" i="17" a="1"/>
  <c r="E397" i="17"/>
  <c r="X396" i="17" a="1"/>
  <c r="O396" i="17" s="1" a="1"/>
  <c r="U396" i="17"/>
  <c r="W396" i="17" s="1"/>
  <c r="P396" i="17"/>
  <c r="H396" i="17" a="1"/>
  <c r="E396" i="17"/>
  <c r="X395" i="17" a="1"/>
  <c r="O395" i="17" s="1" a="1"/>
  <c r="U395" i="17"/>
  <c r="W395" i="17" s="1"/>
  <c r="P395" i="17"/>
  <c r="H395" i="17" a="1"/>
  <c r="E395" i="17"/>
  <c r="X394" i="17" a="1"/>
  <c r="O394" i="17" s="1" a="1"/>
  <c r="U394" i="17"/>
  <c r="W394" i="17" s="1"/>
  <c r="P394" i="17"/>
  <c r="H394" i="17" a="1"/>
  <c r="E394" i="17"/>
  <c r="X393" i="17" a="1"/>
  <c r="O393" i="17" s="1" a="1"/>
  <c r="U393" i="17"/>
  <c r="W393" i="17" s="1"/>
  <c r="P393" i="17"/>
  <c r="H393" i="17" a="1"/>
  <c r="E393" i="17"/>
  <c r="X392" i="17" a="1"/>
  <c r="O392" i="17" s="1" a="1"/>
  <c r="U392" i="17"/>
  <c r="W392" i="17" s="1"/>
  <c r="P392" i="17"/>
  <c r="H392" i="17" a="1"/>
  <c r="E392" i="17"/>
  <c r="X391" i="17" a="1"/>
  <c r="O391" i="17" s="1" a="1"/>
  <c r="U391" i="17"/>
  <c r="W391" i="17" s="1"/>
  <c r="P391" i="17"/>
  <c r="H391" i="17" a="1"/>
  <c r="E391" i="17"/>
  <c r="X390" i="17" a="1"/>
  <c r="O390" i="17" s="1" a="1"/>
  <c r="U390" i="17"/>
  <c r="W390" i="17" s="1"/>
  <c r="P390" i="17"/>
  <c r="H390" i="17" a="1"/>
  <c r="E390" i="17"/>
  <c r="X389" i="17" a="1"/>
  <c r="O389" i="17" s="1" a="1"/>
  <c r="U389" i="17"/>
  <c r="W389" i="17" s="1"/>
  <c r="P389" i="17"/>
  <c r="H389" i="17" a="1"/>
  <c r="E389" i="17"/>
  <c r="X388" i="17" a="1"/>
  <c r="O388" i="17" s="1" a="1"/>
  <c r="U388" i="17"/>
  <c r="W388" i="17" s="1"/>
  <c r="P388" i="17"/>
  <c r="H388" i="17" a="1"/>
  <c r="E388" i="17"/>
  <c r="X387" i="17" a="1"/>
  <c r="O387" i="17" s="1" a="1"/>
  <c r="U387" i="17"/>
  <c r="W387" i="17" s="1"/>
  <c r="P387" i="17"/>
  <c r="H387" i="17" a="1"/>
  <c r="E387" i="17"/>
  <c r="X386" i="17" a="1"/>
  <c r="O386" i="17" s="1" a="1"/>
  <c r="U386" i="17"/>
  <c r="W386" i="17" s="1"/>
  <c r="P386" i="17"/>
  <c r="H386" i="17" a="1"/>
  <c r="E386" i="17"/>
  <c r="X385" i="17" a="1"/>
  <c r="O385" i="17" s="1" a="1"/>
  <c r="U385" i="17"/>
  <c r="W385" i="17" s="1"/>
  <c r="P385" i="17"/>
  <c r="H385" i="17" a="1"/>
  <c r="E385" i="17"/>
  <c r="X384" i="17" a="1"/>
  <c r="O384" i="17" s="1" a="1"/>
  <c r="U384" i="17"/>
  <c r="W384" i="17" s="1"/>
  <c r="P384" i="17"/>
  <c r="H384" i="17" a="1"/>
  <c r="E384" i="17"/>
  <c r="X383" i="17" a="1"/>
  <c r="O383" i="17" s="1" a="1"/>
  <c r="U383" i="17"/>
  <c r="W383" i="17" s="1"/>
  <c r="P383" i="17"/>
  <c r="H383" i="17" a="1"/>
  <c r="E383" i="17"/>
  <c r="X382" i="17" a="1"/>
  <c r="O382" i="17" s="1" a="1"/>
  <c r="U382" i="17"/>
  <c r="W382" i="17" s="1"/>
  <c r="P382" i="17"/>
  <c r="H382" i="17" a="1"/>
  <c r="E382" i="17"/>
  <c r="X381" i="17" a="1"/>
  <c r="O381" i="17" s="1" a="1"/>
  <c r="U381" i="17"/>
  <c r="W381" i="17" s="1"/>
  <c r="P381" i="17"/>
  <c r="H381" i="17" a="1"/>
  <c r="E381" i="17"/>
  <c r="X380" i="17" a="1"/>
  <c r="O380" i="17" s="1" a="1"/>
  <c r="U380" i="17"/>
  <c r="W380" i="17" s="1"/>
  <c r="P380" i="17"/>
  <c r="H380" i="17" a="1"/>
  <c r="E380" i="17"/>
  <c r="X379" i="17" a="1"/>
  <c r="O379" i="17" s="1" a="1"/>
  <c r="U379" i="17"/>
  <c r="W379" i="17" s="1"/>
  <c r="P379" i="17"/>
  <c r="H379" i="17" a="1"/>
  <c r="E379" i="17"/>
  <c r="X378" i="17" a="1"/>
  <c r="O378" i="17" s="1" a="1"/>
  <c r="U378" i="17"/>
  <c r="W378" i="17" s="1"/>
  <c r="P378" i="17"/>
  <c r="H378" i="17" a="1"/>
  <c r="E378" i="17"/>
  <c r="X377" i="17" a="1"/>
  <c r="O377" i="17" s="1" a="1"/>
  <c r="U377" i="17"/>
  <c r="W377" i="17" s="1"/>
  <c r="P377" i="17"/>
  <c r="H377" i="17" a="1"/>
  <c r="E377" i="17"/>
  <c r="X376" i="17" a="1"/>
  <c r="O376" i="17" s="1" a="1"/>
  <c r="U376" i="17"/>
  <c r="W376" i="17" s="1"/>
  <c r="P376" i="17"/>
  <c r="H376" i="17" a="1"/>
  <c r="E376" i="17"/>
  <c r="X375" i="17" a="1"/>
  <c r="O375" i="17" s="1" a="1"/>
  <c r="U375" i="17"/>
  <c r="W375" i="17" s="1"/>
  <c r="P375" i="17"/>
  <c r="H375" i="17" a="1"/>
  <c r="E375" i="17"/>
  <c r="X374" i="17" a="1"/>
  <c r="O374" i="17" s="1" a="1"/>
  <c r="U374" i="17"/>
  <c r="W374" i="17" s="1"/>
  <c r="P374" i="17"/>
  <c r="H374" i="17" a="1"/>
  <c r="E374" i="17"/>
  <c r="X373" i="17" a="1"/>
  <c r="O373" i="17" s="1" a="1"/>
  <c r="U373" i="17"/>
  <c r="W373" i="17" s="1"/>
  <c r="P373" i="17"/>
  <c r="H373" i="17" a="1"/>
  <c r="E373" i="17"/>
  <c r="X372" i="17" a="1"/>
  <c r="O372" i="17" s="1" a="1"/>
  <c r="U372" i="17"/>
  <c r="W372" i="17" s="1"/>
  <c r="P372" i="17"/>
  <c r="H372" i="17" a="1"/>
  <c r="E372" i="17"/>
  <c r="X371" i="17" a="1"/>
  <c r="O371" i="17" s="1" a="1"/>
  <c r="U371" i="17"/>
  <c r="W371" i="17" s="1"/>
  <c r="P371" i="17"/>
  <c r="H371" i="17" a="1"/>
  <c r="E371" i="17"/>
  <c r="X370" i="17" a="1"/>
  <c r="O370" i="17" s="1" a="1"/>
  <c r="U370" i="17"/>
  <c r="W370" i="17" s="1"/>
  <c r="P370" i="17"/>
  <c r="H370" i="17" a="1"/>
  <c r="E370" i="17"/>
  <c r="X369" i="17" a="1"/>
  <c r="O369" i="17" s="1" a="1"/>
  <c r="U369" i="17"/>
  <c r="W369" i="17" s="1"/>
  <c r="P369" i="17"/>
  <c r="H369" i="17" a="1"/>
  <c r="E369" i="17"/>
  <c r="X368" i="17" a="1"/>
  <c r="O368" i="17" s="1" a="1"/>
  <c r="U368" i="17"/>
  <c r="W368" i="17" s="1"/>
  <c r="P368" i="17"/>
  <c r="H368" i="17" a="1"/>
  <c r="E368" i="17"/>
  <c r="X367" i="17" a="1"/>
  <c r="O367" i="17" s="1" a="1"/>
  <c r="U367" i="17"/>
  <c r="W367" i="17" s="1"/>
  <c r="P367" i="17"/>
  <c r="H367" i="17" a="1"/>
  <c r="E367" i="17"/>
  <c r="X366" i="17" a="1"/>
  <c r="O366" i="17" s="1" a="1"/>
  <c r="U366" i="17"/>
  <c r="W366" i="17" s="1"/>
  <c r="P366" i="17"/>
  <c r="H366" i="17" a="1"/>
  <c r="E366" i="17"/>
  <c r="X365" i="17" a="1"/>
  <c r="O365" i="17" s="1" a="1"/>
  <c r="U365" i="17"/>
  <c r="W365" i="17" s="1"/>
  <c r="P365" i="17"/>
  <c r="H365" i="17" a="1"/>
  <c r="E365" i="17"/>
  <c r="X364" i="17" a="1"/>
  <c r="O364" i="17" s="1" a="1"/>
  <c r="U364" i="17"/>
  <c r="W364" i="17" s="1"/>
  <c r="P364" i="17"/>
  <c r="H364" i="17" a="1"/>
  <c r="E364" i="17"/>
  <c r="X363" i="17" a="1"/>
  <c r="O363" i="17" s="1" a="1"/>
  <c r="U363" i="17"/>
  <c r="W363" i="17" s="1"/>
  <c r="P363" i="17"/>
  <c r="H363" i="17" a="1"/>
  <c r="E363" i="17"/>
  <c r="X362" i="17" a="1"/>
  <c r="O362" i="17" s="1" a="1"/>
  <c r="U362" i="17"/>
  <c r="W362" i="17" s="1"/>
  <c r="P362" i="17"/>
  <c r="H362" i="17" a="1"/>
  <c r="E362" i="17"/>
  <c r="X361" i="17" a="1"/>
  <c r="O361" i="17" s="1" a="1"/>
  <c r="U361" i="17"/>
  <c r="W361" i="17" s="1"/>
  <c r="P361" i="17"/>
  <c r="H361" i="17" a="1"/>
  <c r="E361" i="17"/>
  <c r="X360" i="17" a="1"/>
  <c r="O360" i="17" s="1" a="1"/>
  <c r="U360" i="17"/>
  <c r="W360" i="17" s="1"/>
  <c r="P360" i="17"/>
  <c r="H360" i="17" a="1"/>
  <c r="E360" i="17"/>
  <c r="X359" i="17" a="1"/>
  <c r="O359" i="17" s="1" a="1"/>
  <c r="U359" i="17"/>
  <c r="W359" i="17" s="1"/>
  <c r="P359" i="17"/>
  <c r="H359" i="17" a="1"/>
  <c r="E359" i="17"/>
  <c r="X358" i="17" a="1"/>
  <c r="O358" i="17" s="1" a="1"/>
  <c r="U358" i="17"/>
  <c r="W358" i="17" s="1"/>
  <c r="P358" i="17"/>
  <c r="H358" i="17" a="1"/>
  <c r="E358" i="17"/>
  <c r="X357" i="17" a="1"/>
  <c r="O357" i="17" s="1" a="1"/>
  <c r="U357" i="17"/>
  <c r="W357" i="17" s="1"/>
  <c r="P357" i="17"/>
  <c r="H357" i="17" a="1"/>
  <c r="E357" i="17"/>
  <c r="X356" i="17" a="1"/>
  <c r="O356" i="17" s="1" a="1"/>
  <c r="U356" i="17"/>
  <c r="W356" i="17" s="1"/>
  <c r="P356" i="17"/>
  <c r="H356" i="17" a="1"/>
  <c r="E356" i="17"/>
  <c r="X355" i="17" a="1"/>
  <c r="O355" i="17" s="1" a="1"/>
  <c r="U355" i="17"/>
  <c r="W355" i="17" s="1"/>
  <c r="P355" i="17"/>
  <c r="H355" i="17" a="1"/>
  <c r="E355" i="17"/>
  <c r="X354" i="17" a="1"/>
  <c r="O354" i="17" s="1" a="1"/>
  <c r="U354" i="17"/>
  <c r="W354" i="17" s="1"/>
  <c r="P354" i="17"/>
  <c r="H354" i="17" a="1"/>
  <c r="E354" i="17"/>
  <c r="X353" i="17" a="1"/>
  <c r="O353" i="17" s="1" a="1"/>
  <c r="U353" i="17"/>
  <c r="W353" i="17" s="1"/>
  <c r="P353" i="17"/>
  <c r="H353" i="17" a="1"/>
  <c r="E353" i="17"/>
  <c r="X352" i="17" a="1"/>
  <c r="O352" i="17" s="1" a="1"/>
  <c r="U352" i="17"/>
  <c r="W352" i="17" s="1"/>
  <c r="P352" i="17"/>
  <c r="H352" i="17" a="1"/>
  <c r="E352" i="17"/>
  <c r="X351" i="17" a="1"/>
  <c r="O351" i="17" s="1" a="1"/>
  <c r="U351" i="17"/>
  <c r="W351" i="17" s="1"/>
  <c r="P351" i="17"/>
  <c r="H351" i="17" a="1"/>
  <c r="E351" i="17"/>
  <c r="X350" i="17" a="1"/>
  <c r="O350" i="17" s="1" a="1"/>
  <c r="U350" i="17"/>
  <c r="W350" i="17" s="1"/>
  <c r="P350" i="17"/>
  <c r="H350" i="17" a="1"/>
  <c r="E350" i="17"/>
  <c r="X349" i="17" a="1"/>
  <c r="O349" i="17" s="1" a="1"/>
  <c r="U349" i="17"/>
  <c r="W349" i="17" s="1"/>
  <c r="P349" i="17"/>
  <c r="H349" i="17" a="1"/>
  <c r="E349" i="17"/>
  <c r="X348" i="17" a="1"/>
  <c r="O348" i="17" s="1" a="1"/>
  <c r="U348" i="17"/>
  <c r="W348" i="17" s="1"/>
  <c r="P348" i="17"/>
  <c r="H348" i="17" a="1"/>
  <c r="E348" i="17"/>
  <c r="X347" i="17" a="1"/>
  <c r="O347" i="17" s="1" a="1"/>
  <c r="U347" i="17"/>
  <c r="W347" i="17" s="1"/>
  <c r="P347" i="17"/>
  <c r="H347" i="17" a="1"/>
  <c r="E347" i="17"/>
  <c r="X346" i="17" a="1"/>
  <c r="O346" i="17" s="1" a="1"/>
  <c r="U346" i="17"/>
  <c r="W346" i="17" s="1"/>
  <c r="P346" i="17"/>
  <c r="H346" i="17" a="1"/>
  <c r="E346" i="17"/>
  <c r="X345" i="17" a="1"/>
  <c r="O345" i="17" s="1" a="1"/>
  <c r="U345" i="17"/>
  <c r="W345" i="17" s="1"/>
  <c r="P345" i="17"/>
  <c r="H345" i="17" a="1"/>
  <c r="E345" i="17"/>
  <c r="X344" i="17" a="1"/>
  <c r="O344" i="17" s="1" a="1"/>
  <c r="U344" i="17"/>
  <c r="W344" i="17" s="1"/>
  <c r="P344" i="17"/>
  <c r="H344" i="17" a="1"/>
  <c r="E344" i="17"/>
  <c r="X343" i="17" a="1"/>
  <c r="O343" i="17" s="1" a="1"/>
  <c r="U343" i="17"/>
  <c r="W343" i="17" s="1"/>
  <c r="P343" i="17"/>
  <c r="H343" i="17" a="1"/>
  <c r="E343" i="17"/>
  <c r="X342" i="17" a="1"/>
  <c r="O342" i="17" s="1" a="1"/>
  <c r="U342" i="17"/>
  <c r="W342" i="17" s="1"/>
  <c r="P342" i="17"/>
  <c r="H342" i="17" a="1"/>
  <c r="E342" i="17"/>
  <c r="X341" i="17" a="1"/>
  <c r="O341" i="17" s="1" a="1"/>
  <c r="U341" i="17"/>
  <c r="W341" i="17" s="1"/>
  <c r="P341" i="17"/>
  <c r="H341" i="17" a="1"/>
  <c r="E341" i="17"/>
  <c r="X340" i="17" a="1"/>
  <c r="O340" i="17" s="1" a="1"/>
  <c r="U340" i="17"/>
  <c r="W340" i="17" s="1"/>
  <c r="P340" i="17"/>
  <c r="H340" i="17" a="1"/>
  <c r="E340" i="17"/>
  <c r="X339" i="17" a="1"/>
  <c r="O339" i="17" s="1" a="1"/>
  <c r="U339" i="17"/>
  <c r="W339" i="17" s="1"/>
  <c r="P339" i="17"/>
  <c r="H339" i="17" a="1"/>
  <c r="E339" i="17"/>
  <c r="X338" i="17" a="1"/>
  <c r="O338" i="17" s="1" a="1"/>
  <c r="U338" i="17"/>
  <c r="W338" i="17" s="1"/>
  <c r="P338" i="17"/>
  <c r="H338" i="17" a="1"/>
  <c r="E338" i="17"/>
  <c r="X337" i="17" a="1"/>
  <c r="O337" i="17" s="1" a="1"/>
  <c r="U337" i="17"/>
  <c r="W337" i="17" s="1"/>
  <c r="P337" i="17"/>
  <c r="H337" i="17" a="1"/>
  <c r="E337" i="17"/>
  <c r="X336" i="17" a="1"/>
  <c r="O336" i="17" s="1" a="1"/>
  <c r="U336" i="17"/>
  <c r="W336" i="17" s="1"/>
  <c r="P336" i="17"/>
  <c r="H336" i="17" a="1"/>
  <c r="E336" i="17"/>
  <c r="X335" i="17" a="1"/>
  <c r="O335" i="17" s="1" a="1"/>
  <c r="U335" i="17"/>
  <c r="W335" i="17" s="1"/>
  <c r="P335" i="17"/>
  <c r="H335" i="17" a="1"/>
  <c r="E335" i="17"/>
  <c r="X334" i="17" a="1"/>
  <c r="O334" i="17" s="1" a="1"/>
  <c r="U334" i="17"/>
  <c r="W334" i="17" s="1"/>
  <c r="P334" i="17"/>
  <c r="H334" i="17" a="1"/>
  <c r="E334" i="17"/>
  <c r="X333" i="17" a="1"/>
  <c r="O333" i="17" s="1" a="1"/>
  <c r="U333" i="17"/>
  <c r="W333" i="17" s="1"/>
  <c r="P333" i="17"/>
  <c r="H333" i="17" a="1"/>
  <c r="E333" i="17"/>
  <c r="X332" i="17" a="1"/>
  <c r="O332" i="17" s="1" a="1"/>
  <c r="U332" i="17"/>
  <c r="W332" i="17" s="1"/>
  <c r="P332" i="17"/>
  <c r="H332" i="17" a="1"/>
  <c r="E332" i="17"/>
  <c r="X331" i="17" a="1"/>
  <c r="O331" i="17" s="1" a="1"/>
  <c r="U331" i="17"/>
  <c r="W331" i="17" s="1"/>
  <c r="P331" i="17"/>
  <c r="H331" i="17" a="1"/>
  <c r="E331" i="17"/>
  <c r="X330" i="17" a="1"/>
  <c r="O330" i="17" s="1" a="1"/>
  <c r="U330" i="17"/>
  <c r="W330" i="17" s="1"/>
  <c r="P330" i="17"/>
  <c r="H330" i="17" a="1"/>
  <c r="E330" i="17"/>
  <c r="X329" i="17" a="1"/>
  <c r="O329" i="17" s="1" a="1"/>
  <c r="U329" i="17"/>
  <c r="W329" i="17" s="1"/>
  <c r="P329" i="17"/>
  <c r="H329" i="17" a="1"/>
  <c r="E329" i="17"/>
  <c r="X328" i="17" a="1"/>
  <c r="O328" i="17" s="1" a="1"/>
  <c r="U328" i="17"/>
  <c r="W328" i="17" s="1"/>
  <c r="P328" i="17"/>
  <c r="H328" i="17" a="1"/>
  <c r="E328" i="17"/>
  <c r="X327" i="17" a="1"/>
  <c r="O327" i="17" s="1" a="1"/>
  <c r="U327" i="17"/>
  <c r="W327" i="17" s="1"/>
  <c r="P327" i="17"/>
  <c r="H327" i="17" a="1"/>
  <c r="E327" i="17"/>
  <c r="X326" i="17" a="1"/>
  <c r="O326" i="17" s="1" a="1"/>
  <c r="U326" i="17"/>
  <c r="W326" i="17" s="1"/>
  <c r="P326" i="17"/>
  <c r="H326" i="17" a="1"/>
  <c r="E326" i="17"/>
  <c r="X325" i="17" a="1"/>
  <c r="O325" i="17" s="1" a="1"/>
  <c r="U325" i="17"/>
  <c r="W325" i="17" s="1"/>
  <c r="P325" i="17"/>
  <c r="H325" i="17" a="1"/>
  <c r="E325" i="17"/>
  <c r="X324" i="17" a="1"/>
  <c r="O324" i="17" s="1" a="1"/>
  <c r="U324" i="17"/>
  <c r="W324" i="17" s="1"/>
  <c r="P324" i="17"/>
  <c r="H324" i="17" a="1"/>
  <c r="E324" i="17"/>
  <c r="X323" i="17" a="1"/>
  <c r="O323" i="17" s="1" a="1"/>
  <c r="U323" i="17"/>
  <c r="W323" i="17" s="1"/>
  <c r="P323" i="17"/>
  <c r="H323" i="17" a="1"/>
  <c r="E323" i="17"/>
  <c r="X322" i="17" a="1"/>
  <c r="O322" i="17" s="1" a="1"/>
  <c r="U322" i="17"/>
  <c r="W322" i="17" s="1"/>
  <c r="P322" i="17"/>
  <c r="H322" i="17" a="1"/>
  <c r="E322" i="17"/>
  <c r="X321" i="17" a="1"/>
  <c r="O321" i="17" s="1" a="1"/>
  <c r="U321" i="17"/>
  <c r="W321" i="17" s="1"/>
  <c r="P321" i="17"/>
  <c r="H321" i="17" a="1"/>
  <c r="E321" i="17"/>
  <c r="X320" i="17" a="1"/>
  <c r="O320" i="17" s="1" a="1"/>
  <c r="U320" i="17"/>
  <c r="W320" i="17" s="1"/>
  <c r="P320" i="17"/>
  <c r="H320" i="17" a="1"/>
  <c r="E320" i="17"/>
  <c r="X319" i="17" a="1"/>
  <c r="O319" i="17" s="1" a="1"/>
  <c r="U319" i="17"/>
  <c r="W319" i="17" s="1"/>
  <c r="P319" i="17"/>
  <c r="H319" i="17" a="1"/>
  <c r="E319" i="17"/>
  <c r="X318" i="17" a="1"/>
  <c r="O318" i="17" s="1" a="1"/>
  <c r="U318" i="17"/>
  <c r="W318" i="17" s="1"/>
  <c r="P318" i="17"/>
  <c r="H318" i="17" a="1"/>
  <c r="E318" i="17"/>
  <c r="X317" i="17" a="1"/>
  <c r="O317" i="17" s="1" a="1"/>
  <c r="U317" i="17"/>
  <c r="W317" i="17" s="1"/>
  <c r="P317" i="17"/>
  <c r="H317" i="17" a="1"/>
  <c r="E317" i="17"/>
  <c r="X316" i="17" a="1"/>
  <c r="O316" i="17" s="1" a="1"/>
  <c r="U316" i="17"/>
  <c r="W316" i="17" s="1"/>
  <c r="P316" i="17"/>
  <c r="H316" i="17" a="1"/>
  <c r="E316" i="17"/>
  <c r="X315" i="17" a="1"/>
  <c r="O315" i="17" s="1" a="1"/>
  <c r="U315" i="17"/>
  <c r="W315" i="17" s="1"/>
  <c r="P315" i="17"/>
  <c r="H315" i="17" a="1"/>
  <c r="E315" i="17"/>
  <c r="X314" i="17" a="1"/>
  <c r="O314" i="17" s="1" a="1"/>
  <c r="U314" i="17"/>
  <c r="W314" i="17" s="1"/>
  <c r="P314" i="17"/>
  <c r="H314" i="17" a="1"/>
  <c r="E314" i="17"/>
  <c r="X313" i="17" a="1"/>
  <c r="O313" i="17" s="1" a="1"/>
  <c r="U313" i="17"/>
  <c r="W313" i="17" s="1"/>
  <c r="P313" i="17"/>
  <c r="H313" i="17" a="1"/>
  <c r="E313" i="17"/>
  <c r="X312" i="17" a="1"/>
  <c r="O312" i="17" s="1" a="1"/>
  <c r="U312" i="17"/>
  <c r="W312" i="17" s="1"/>
  <c r="P312" i="17"/>
  <c r="H312" i="17" a="1"/>
  <c r="E312" i="17"/>
  <c r="X311" i="17" a="1"/>
  <c r="O311" i="17" s="1" a="1"/>
  <c r="U311" i="17"/>
  <c r="W311" i="17" s="1"/>
  <c r="P311" i="17"/>
  <c r="H311" i="17" a="1"/>
  <c r="E311" i="17"/>
  <c r="X310" i="17" a="1"/>
  <c r="O310" i="17" s="1" a="1"/>
  <c r="U310" i="17"/>
  <c r="W310" i="17" s="1"/>
  <c r="P310" i="17"/>
  <c r="H310" i="17" a="1"/>
  <c r="E310" i="17"/>
  <c r="X309" i="17" a="1"/>
  <c r="O309" i="17" s="1" a="1"/>
  <c r="U309" i="17"/>
  <c r="W309" i="17" s="1"/>
  <c r="P309" i="17"/>
  <c r="H309" i="17" a="1"/>
  <c r="E309" i="17"/>
  <c r="X308" i="17" a="1"/>
  <c r="O308" i="17" s="1" a="1"/>
  <c r="U308" i="17"/>
  <c r="W308" i="17" s="1"/>
  <c r="P308" i="17"/>
  <c r="H308" i="17" a="1"/>
  <c r="E308" i="17"/>
  <c r="X307" i="17" a="1"/>
  <c r="O307" i="17" s="1" a="1"/>
  <c r="U307" i="17"/>
  <c r="W307" i="17" s="1"/>
  <c r="P307" i="17"/>
  <c r="H307" i="17" a="1"/>
  <c r="E307" i="17"/>
  <c r="X306" i="17" a="1"/>
  <c r="O306" i="17" s="1" a="1"/>
  <c r="U306" i="17"/>
  <c r="W306" i="17" s="1"/>
  <c r="P306" i="17"/>
  <c r="H306" i="17" a="1"/>
  <c r="E306" i="17"/>
  <c r="X305" i="17" a="1"/>
  <c r="O305" i="17" s="1" a="1"/>
  <c r="U305" i="17"/>
  <c r="W305" i="17" s="1"/>
  <c r="P305" i="17"/>
  <c r="H305" i="17" a="1"/>
  <c r="E305" i="17"/>
  <c r="X304" i="17" a="1"/>
  <c r="O304" i="17" s="1" a="1"/>
  <c r="U304" i="17"/>
  <c r="W304" i="17" s="1"/>
  <c r="P304" i="17"/>
  <c r="H304" i="17" a="1"/>
  <c r="E304" i="17"/>
  <c r="X303" i="17" a="1"/>
  <c r="O303" i="17" s="1" a="1"/>
  <c r="U303" i="17"/>
  <c r="W303" i="17" s="1"/>
  <c r="P303" i="17"/>
  <c r="H303" i="17" a="1"/>
  <c r="E303" i="17"/>
  <c r="X302" i="17" a="1"/>
  <c r="O302" i="17" s="1" a="1"/>
  <c r="U302" i="17"/>
  <c r="W302" i="17" s="1"/>
  <c r="P302" i="17"/>
  <c r="H302" i="17" a="1"/>
  <c r="E302" i="17"/>
  <c r="X301" i="17" a="1"/>
  <c r="O301" i="17" s="1" a="1"/>
  <c r="U301" i="17"/>
  <c r="W301" i="17" s="1"/>
  <c r="P301" i="17"/>
  <c r="H301" i="17" a="1"/>
  <c r="E301" i="17"/>
  <c r="X300" i="17" a="1"/>
  <c r="O300" i="17" s="1" a="1"/>
  <c r="U300" i="17"/>
  <c r="W300" i="17" s="1"/>
  <c r="P300" i="17"/>
  <c r="H300" i="17" a="1"/>
  <c r="E300" i="17"/>
  <c r="X299" i="17" a="1"/>
  <c r="O299" i="17" s="1" a="1"/>
  <c r="U299" i="17"/>
  <c r="W299" i="17" s="1"/>
  <c r="P299" i="17"/>
  <c r="H299" i="17" a="1"/>
  <c r="E299" i="17"/>
  <c r="X298" i="17" a="1"/>
  <c r="O298" i="17" s="1" a="1"/>
  <c r="U298" i="17"/>
  <c r="W298" i="17" s="1"/>
  <c r="P298" i="17"/>
  <c r="H298" i="17" a="1"/>
  <c r="E298" i="17"/>
  <c r="X297" i="17" a="1"/>
  <c r="O297" i="17" s="1" a="1"/>
  <c r="U297" i="17"/>
  <c r="W297" i="17" s="1"/>
  <c r="P297" i="17"/>
  <c r="H297" i="17" a="1"/>
  <c r="E297" i="17"/>
  <c r="X296" i="17" a="1"/>
  <c r="O296" i="17" s="1" a="1"/>
  <c r="U296" i="17"/>
  <c r="W296" i="17" s="1"/>
  <c r="P296" i="17"/>
  <c r="H296" i="17" a="1"/>
  <c r="E296" i="17"/>
  <c r="X295" i="17" a="1"/>
  <c r="O295" i="17" s="1" a="1"/>
  <c r="U295" i="17"/>
  <c r="W295" i="17" s="1"/>
  <c r="P295" i="17"/>
  <c r="H295" i="17" a="1"/>
  <c r="E295" i="17"/>
  <c r="X294" i="17" a="1"/>
  <c r="O294" i="17" s="1" a="1"/>
  <c r="U294" i="17"/>
  <c r="W294" i="17" s="1"/>
  <c r="P294" i="17"/>
  <c r="H294" i="17" a="1"/>
  <c r="E294" i="17"/>
  <c r="X293" i="17" a="1"/>
  <c r="O293" i="17" s="1" a="1"/>
  <c r="U293" i="17"/>
  <c r="W293" i="17" s="1"/>
  <c r="P293" i="17"/>
  <c r="H293" i="17" a="1"/>
  <c r="E293" i="17"/>
  <c r="X292" i="17" a="1"/>
  <c r="O292" i="17" s="1" a="1"/>
  <c r="U292" i="17"/>
  <c r="W292" i="17" s="1"/>
  <c r="P292" i="17"/>
  <c r="H292" i="17" a="1"/>
  <c r="E292" i="17"/>
  <c r="X291" i="17" a="1"/>
  <c r="O291" i="17" s="1" a="1"/>
  <c r="U291" i="17"/>
  <c r="W291" i="17" s="1"/>
  <c r="P291" i="17"/>
  <c r="H291" i="17" a="1"/>
  <c r="E291" i="17"/>
  <c r="X290" i="17" a="1"/>
  <c r="O290" i="17" s="1" a="1"/>
  <c r="U290" i="17"/>
  <c r="W290" i="17" s="1"/>
  <c r="P290" i="17"/>
  <c r="H290" i="17" a="1"/>
  <c r="E290" i="17"/>
  <c r="X289" i="17" a="1"/>
  <c r="O289" i="17" s="1" a="1"/>
  <c r="U289" i="17"/>
  <c r="W289" i="17" s="1"/>
  <c r="P289" i="17"/>
  <c r="H289" i="17" a="1"/>
  <c r="E289" i="17"/>
  <c r="X288" i="17" a="1"/>
  <c r="O288" i="17" s="1" a="1"/>
  <c r="U288" i="17"/>
  <c r="W288" i="17" s="1"/>
  <c r="P288" i="17"/>
  <c r="H288" i="17" a="1"/>
  <c r="E288" i="17"/>
  <c r="X287" i="17" a="1"/>
  <c r="O287" i="17" s="1" a="1"/>
  <c r="U287" i="17"/>
  <c r="W287" i="17" s="1"/>
  <c r="P287" i="17"/>
  <c r="H287" i="17" a="1"/>
  <c r="E287" i="17"/>
  <c r="X286" i="17" a="1"/>
  <c r="O286" i="17" s="1" a="1"/>
  <c r="U286" i="17"/>
  <c r="W286" i="17" s="1"/>
  <c r="P286" i="17"/>
  <c r="H286" i="17" a="1"/>
  <c r="E286" i="17"/>
  <c r="X285" i="17" a="1"/>
  <c r="O285" i="17" s="1" a="1"/>
  <c r="T285" i="17"/>
  <c r="U285" i="17" s="1"/>
  <c r="W285" i="17" s="1"/>
  <c r="P285" i="17"/>
  <c r="H285" i="17" a="1"/>
  <c r="E285" i="17"/>
  <c r="X284" i="17" a="1"/>
  <c r="O284" i="17" s="1" a="1"/>
  <c r="U284" i="17"/>
  <c r="W284" i="17" s="1"/>
  <c r="P284" i="17"/>
  <c r="H284" i="17" a="1"/>
  <c r="E284" i="17"/>
  <c r="X283" i="17" a="1"/>
  <c r="O283" i="17" s="1" a="1"/>
  <c r="U283" i="17"/>
  <c r="W283" i="17" s="1"/>
  <c r="P283" i="17"/>
  <c r="H283" i="17" a="1"/>
  <c r="E283" i="17"/>
  <c r="X282" i="17" a="1"/>
  <c r="O282" i="17" s="1" a="1"/>
  <c r="U282" i="17"/>
  <c r="W282" i="17" s="1"/>
  <c r="P282" i="17"/>
  <c r="H282" i="17" a="1"/>
  <c r="E282" i="17"/>
  <c r="X281" i="17" a="1"/>
  <c r="O281" i="17" s="1" a="1"/>
  <c r="U281" i="17"/>
  <c r="W281" i="17" s="1"/>
  <c r="P281" i="17"/>
  <c r="H281" i="17" a="1"/>
  <c r="E281" i="17"/>
  <c r="X280" i="17" a="1"/>
  <c r="O280" i="17" s="1" a="1"/>
  <c r="U280" i="17"/>
  <c r="W280" i="17" s="1"/>
  <c r="P280" i="17"/>
  <c r="H280" i="17" a="1"/>
  <c r="E280" i="17"/>
  <c r="X279" i="17" a="1"/>
  <c r="O279" i="17" s="1" a="1"/>
  <c r="U279" i="17"/>
  <c r="W279" i="17" s="1"/>
  <c r="P279" i="17"/>
  <c r="H279" i="17" a="1"/>
  <c r="E279" i="17"/>
  <c r="X278" i="17" a="1"/>
  <c r="O278" i="17" s="1" a="1"/>
  <c r="U278" i="17"/>
  <c r="W278" i="17" s="1"/>
  <c r="P278" i="17"/>
  <c r="H278" i="17" a="1"/>
  <c r="E278" i="17"/>
  <c r="X277" i="17" a="1"/>
  <c r="O277" i="17" s="1" a="1"/>
  <c r="U277" i="17"/>
  <c r="W277" i="17" s="1"/>
  <c r="P277" i="17"/>
  <c r="H277" i="17" a="1"/>
  <c r="E277" i="17"/>
  <c r="X276" i="17" a="1"/>
  <c r="O276" i="17" s="1" a="1"/>
  <c r="U276" i="17"/>
  <c r="W276" i="17" s="1"/>
  <c r="P276" i="17"/>
  <c r="H276" i="17" a="1"/>
  <c r="E276" i="17"/>
  <c r="X275" i="17" a="1"/>
  <c r="O275" i="17" s="1" a="1"/>
  <c r="U275" i="17"/>
  <c r="W275" i="17" s="1"/>
  <c r="P275" i="17"/>
  <c r="H275" i="17" a="1"/>
  <c r="E275" i="17"/>
  <c r="X274" i="17" a="1"/>
  <c r="O274" i="17" s="1" a="1"/>
  <c r="U274" i="17"/>
  <c r="W274" i="17" s="1"/>
  <c r="P274" i="17"/>
  <c r="H274" i="17" a="1"/>
  <c r="E274" i="17"/>
  <c r="X273" i="17" a="1"/>
  <c r="O273" i="17" s="1" a="1"/>
  <c r="U273" i="17"/>
  <c r="W273" i="17" s="1"/>
  <c r="P273" i="17"/>
  <c r="H273" i="17" a="1"/>
  <c r="E273" i="17"/>
  <c r="X272" i="17" a="1"/>
  <c r="O272" i="17" s="1" a="1"/>
  <c r="U272" i="17"/>
  <c r="W272" i="17" s="1"/>
  <c r="P272" i="17"/>
  <c r="H272" i="17" a="1"/>
  <c r="E272" i="17"/>
  <c r="X271" i="17" a="1"/>
  <c r="O271" i="17" s="1" a="1"/>
  <c r="U271" i="17"/>
  <c r="W271" i="17" s="1"/>
  <c r="P271" i="17"/>
  <c r="H271" i="17" a="1"/>
  <c r="E271" i="17"/>
  <c r="X270" i="17" a="1"/>
  <c r="O270" i="17" s="1" a="1"/>
  <c r="U270" i="17"/>
  <c r="W270" i="17" s="1"/>
  <c r="P270" i="17"/>
  <c r="H270" i="17" a="1"/>
  <c r="E270" i="17"/>
  <c r="X269" i="17" a="1"/>
  <c r="O269" i="17" s="1" a="1"/>
  <c r="U269" i="17"/>
  <c r="W269" i="17" s="1"/>
  <c r="P269" i="17"/>
  <c r="H269" i="17" a="1"/>
  <c r="E269" i="17"/>
  <c r="X268" i="17" a="1"/>
  <c r="O268" i="17" s="1" a="1"/>
  <c r="U268" i="17"/>
  <c r="W268" i="17" s="1"/>
  <c r="P268" i="17"/>
  <c r="H268" i="17" a="1"/>
  <c r="E268" i="17"/>
  <c r="X267" i="17" a="1"/>
  <c r="O267" i="17" s="1" a="1"/>
  <c r="U267" i="17"/>
  <c r="W267" i="17" s="1"/>
  <c r="P267" i="17"/>
  <c r="H267" i="17" a="1"/>
  <c r="E267" i="17"/>
  <c r="X266" i="17" a="1"/>
  <c r="O266" i="17" s="1" a="1"/>
  <c r="U266" i="17"/>
  <c r="W266" i="17" s="1"/>
  <c r="P266" i="17"/>
  <c r="H266" i="17" a="1"/>
  <c r="E266" i="17"/>
  <c r="X265" i="17" a="1"/>
  <c r="O265" i="17" s="1" a="1"/>
  <c r="U265" i="17"/>
  <c r="W265" i="17" s="1"/>
  <c r="P265" i="17"/>
  <c r="H265" i="17" a="1"/>
  <c r="E265" i="17"/>
  <c r="X264" i="17" a="1"/>
  <c r="O264" i="17" s="1" a="1"/>
  <c r="U264" i="17"/>
  <c r="W264" i="17" s="1"/>
  <c r="P264" i="17"/>
  <c r="H264" i="17" a="1"/>
  <c r="E264" i="17"/>
  <c r="X263" i="17" a="1"/>
  <c r="O263" i="17" s="1" a="1"/>
  <c r="U263" i="17"/>
  <c r="W263" i="17" s="1"/>
  <c r="P263" i="17"/>
  <c r="H263" i="17" a="1"/>
  <c r="E263" i="17"/>
  <c r="X262" i="17" a="1"/>
  <c r="O262" i="17" s="1" a="1"/>
  <c r="U262" i="17"/>
  <c r="W262" i="17" s="1"/>
  <c r="P262" i="17"/>
  <c r="H262" i="17" a="1"/>
  <c r="E262" i="17"/>
  <c r="X261" i="17" a="1"/>
  <c r="O261" i="17" s="1" a="1"/>
  <c r="U261" i="17"/>
  <c r="W261" i="17" s="1"/>
  <c r="P261" i="17"/>
  <c r="H261" i="17" a="1"/>
  <c r="E261" i="17"/>
  <c r="X260" i="17" a="1"/>
  <c r="O260" i="17" s="1" a="1"/>
  <c r="U260" i="17"/>
  <c r="W260" i="17" s="1"/>
  <c r="P260" i="17"/>
  <c r="H260" i="17" a="1"/>
  <c r="E260" i="17"/>
  <c r="X259" i="17" a="1"/>
  <c r="O259" i="17" s="1" a="1"/>
  <c r="U259" i="17"/>
  <c r="W259" i="17" s="1"/>
  <c r="P259" i="17"/>
  <c r="H259" i="17" a="1"/>
  <c r="E259" i="17"/>
  <c r="X258" i="17" a="1"/>
  <c r="O258" i="17" s="1" a="1"/>
  <c r="U258" i="17"/>
  <c r="W258" i="17" s="1"/>
  <c r="P258" i="17"/>
  <c r="H258" i="17" a="1"/>
  <c r="E258" i="17"/>
  <c r="X257" i="17" a="1"/>
  <c r="O257" i="17" s="1" a="1"/>
  <c r="U257" i="17"/>
  <c r="W257" i="17" s="1"/>
  <c r="P257" i="17"/>
  <c r="H257" i="17" a="1"/>
  <c r="E257" i="17"/>
  <c r="X256" i="17" a="1"/>
  <c r="O256" i="17" s="1" a="1"/>
  <c r="U256" i="17"/>
  <c r="W256" i="17" s="1"/>
  <c r="P256" i="17"/>
  <c r="H256" i="17" a="1"/>
  <c r="E256" i="17"/>
  <c r="X255" i="17" a="1"/>
  <c r="O255" i="17" s="1" a="1"/>
  <c r="U255" i="17"/>
  <c r="W255" i="17" s="1"/>
  <c r="P255" i="17"/>
  <c r="H255" i="17" a="1"/>
  <c r="E255" i="17"/>
  <c r="X254" i="17" a="1"/>
  <c r="O254" i="17" s="1" a="1"/>
  <c r="U254" i="17"/>
  <c r="W254" i="17" s="1"/>
  <c r="P254" i="17"/>
  <c r="H254" i="17" a="1"/>
  <c r="E254" i="17"/>
  <c r="X253" i="17" a="1"/>
  <c r="O253" i="17" s="1" a="1"/>
  <c r="U253" i="17"/>
  <c r="W253" i="17" s="1"/>
  <c r="P253" i="17"/>
  <c r="H253" i="17" a="1"/>
  <c r="E253" i="17"/>
  <c r="X252" i="17" a="1"/>
  <c r="O252" i="17" s="1" a="1"/>
  <c r="U252" i="17"/>
  <c r="W252" i="17" s="1"/>
  <c r="P252" i="17"/>
  <c r="H252" i="17" a="1"/>
  <c r="E252" i="17"/>
  <c r="X251" i="17" a="1"/>
  <c r="O251" i="17" s="1" a="1"/>
  <c r="U251" i="17"/>
  <c r="W251" i="17" s="1"/>
  <c r="P251" i="17"/>
  <c r="H251" i="17" a="1"/>
  <c r="E251" i="17"/>
  <c r="X250" i="17" a="1"/>
  <c r="O250" i="17" s="1" a="1"/>
  <c r="U250" i="17"/>
  <c r="W250" i="17" s="1"/>
  <c r="P250" i="17"/>
  <c r="H250" i="17" a="1"/>
  <c r="E250" i="17"/>
  <c r="X249" i="17" a="1"/>
  <c r="O249" i="17" s="1" a="1"/>
  <c r="U249" i="17"/>
  <c r="W249" i="17" s="1"/>
  <c r="P249" i="17"/>
  <c r="H249" i="17" a="1"/>
  <c r="E249" i="17"/>
  <c r="X248" i="17" a="1"/>
  <c r="O248" i="17" s="1" a="1"/>
  <c r="U248" i="17"/>
  <c r="W248" i="17" s="1"/>
  <c r="P248" i="17"/>
  <c r="H248" i="17" a="1"/>
  <c r="E248" i="17"/>
  <c r="X247" i="17" a="1"/>
  <c r="O247" i="17" s="1" a="1"/>
  <c r="U247" i="17"/>
  <c r="W247" i="17" s="1"/>
  <c r="P247" i="17"/>
  <c r="H247" i="17" a="1"/>
  <c r="E247" i="17"/>
  <c r="X246" i="17" a="1"/>
  <c r="O246" i="17" s="1" a="1"/>
  <c r="U246" i="17"/>
  <c r="W246" i="17" s="1"/>
  <c r="P246" i="17"/>
  <c r="H246" i="17" a="1"/>
  <c r="E246" i="17"/>
  <c r="X245" i="17" a="1"/>
  <c r="O245" i="17" s="1" a="1"/>
  <c r="U245" i="17"/>
  <c r="W245" i="17" s="1"/>
  <c r="P245" i="17"/>
  <c r="H245" i="17" a="1"/>
  <c r="E245" i="17"/>
  <c r="X244" i="17" a="1"/>
  <c r="O244" i="17" s="1" a="1"/>
  <c r="U244" i="17"/>
  <c r="W244" i="17" s="1"/>
  <c r="P244" i="17"/>
  <c r="H244" i="17" a="1"/>
  <c r="E244" i="17"/>
  <c r="X243" i="17" a="1"/>
  <c r="O243" i="17" s="1" a="1"/>
  <c r="U243" i="17"/>
  <c r="W243" i="17" s="1"/>
  <c r="P243" i="17"/>
  <c r="H243" i="17" a="1"/>
  <c r="E243" i="17"/>
  <c r="X242" i="17" a="1"/>
  <c r="O242" i="17" s="1" a="1"/>
  <c r="U242" i="17"/>
  <c r="W242" i="17" s="1"/>
  <c r="P242" i="17"/>
  <c r="H242" i="17" a="1"/>
  <c r="E242" i="17"/>
  <c r="X241" i="17" a="1"/>
  <c r="O241" i="17" s="1" a="1"/>
  <c r="U241" i="17"/>
  <c r="W241" i="17" s="1"/>
  <c r="P241" i="17"/>
  <c r="H241" i="17" a="1"/>
  <c r="E241" i="17"/>
  <c r="X240" i="17" a="1"/>
  <c r="O240" i="17" s="1" a="1"/>
  <c r="U240" i="17"/>
  <c r="W240" i="17" s="1"/>
  <c r="P240" i="17"/>
  <c r="H240" i="17" a="1"/>
  <c r="E240" i="17"/>
  <c r="X239" i="17" a="1"/>
  <c r="O239" i="17" s="1" a="1"/>
  <c r="U239" i="17"/>
  <c r="W239" i="17" s="1"/>
  <c r="P239" i="17"/>
  <c r="H239" i="17" a="1"/>
  <c r="E239" i="17"/>
  <c r="X238" i="17" a="1"/>
  <c r="O238" i="17" s="1" a="1"/>
  <c r="U238" i="17"/>
  <c r="W238" i="17" s="1"/>
  <c r="P238" i="17"/>
  <c r="H238" i="17" a="1"/>
  <c r="E238" i="17"/>
  <c r="X237" i="17" a="1"/>
  <c r="O237" i="17" s="1" a="1"/>
  <c r="U237" i="17"/>
  <c r="W237" i="17" s="1"/>
  <c r="P237" i="17"/>
  <c r="H237" i="17" a="1"/>
  <c r="E237" i="17"/>
  <c r="X236" i="17" a="1"/>
  <c r="O236" i="17" s="1" a="1"/>
  <c r="U236" i="17"/>
  <c r="W236" i="17" s="1"/>
  <c r="P236" i="17"/>
  <c r="H236" i="17" a="1"/>
  <c r="E236" i="17"/>
  <c r="X235" i="17" a="1"/>
  <c r="O235" i="17" s="1" a="1"/>
  <c r="T235" i="17"/>
  <c r="U235" i="17" s="1"/>
  <c r="W235" i="17" s="1"/>
  <c r="P235" i="17"/>
  <c r="H235" i="17" a="1"/>
  <c r="E235" i="17"/>
  <c r="X234" i="17" a="1"/>
  <c r="O234" i="17" s="1" a="1"/>
  <c r="U234" i="17"/>
  <c r="W234" i="17" s="1"/>
  <c r="P234" i="17"/>
  <c r="H234" i="17" a="1"/>
  <c r="E234" i="17"/>
  <c r="X233" i="17" a="1"/>
  <c r="O233" i="17" s="1" a="1"/>
  <c r="U233" i="17"/>
  <c r="W233" i="17" s="1"/>
  <c r="P233" i="17"/>
  <c r="H233" i="17" a="1"/>
  <c r="E233" i="17"/>
  <c r="X232" i="17" a="1"/>
  <c r="O232" i="17" s="1" a="1"/>
  <c r="U232" i="17"/>
  <c r="W232" i="17" s="1"/>
  <c r="P232" i="17"/>
  <c r="H232" i="17" a="1"/>
  <c r="E232" i="17"/>
  <c r="X231" i="17" a="1"/>
  <c r="O231" i="17" s="1" a="1"/>
  <c r="U231" i="17"/>
  <c r="W231" i="17" s="1"/>
  <c r="P231" i="17"/>
  <c r="H231" i="17" a="1"/>
  <c r="E231" i="17"/>
  <c r="X230" i="17" a="1"/>
  <c r="O230" i="17" s="1" a="1"/>
  <c r="U230" i="17"/>
  <c r="W230" i="17" s="1"/>
  <c r="P230" i="17"/>
  <c r="H230" i="17" a="1"/>
  <c r="E230" i="17"/>
  <c r="X229" i="17" a="1"/>
  <c r="O229" i="17" s="1" a="1"/>
  <c r="U229" i="17"/>
  <c r="W229" i="17" s="1"/>
  <c r="P229" i="17"/>
  <c r="H229" i="17" a="1"/>
  <c r="E229" i="17"/>
  <c r="X228" i="17" a="1"/>
  <c r="O228" i="17" s="1" a="1"/>
  <c r="U228" i="17"/>
  <c r="W228" i="17" s="1"/>
  <c r="P228" i="17"/>
  <c r="H228" i="17" a="1"/>
  <c r="E228" i="17"/>
  <c r="X227" i="17" a="1"/>
  <c r="O227" i="17" s="1" a="1"/>
  <c r="U227" i="17"/>
  <c r="W227" i="17" s="1"/>
  <c r="P227" i="17"/>
  <c r="H227" i="17" a="1"/>
  <c r="E227" i="17"/>
  <c r="X226" i="17" a="1"/>
  <c r="O226" i="17" s="1" a="1"/>
  <c r="U226" i="17"/>
  <c r="W226" i="17" s="1"/>
  <c r="P226" i="17"/>
  <c r="H226" i="17" a="1"/>
  <c r="E226" i="17"/>
  <c r="X225" i="17" a="1"/>
  <c r="O225" i="17" s="1" a="1"/>
  <c r="U225" i="17"/>
  <c r="W225" i="17" s="1"/>
  <c r="P225" i="17"/>
  <c r="H225" i="17" a="1"/>
  <c r="E225" i="17"/>
  <c r="X224" i="17" a="1"/>
  <c r="O224" i="17" s="1" a="1"/>
  <c r="U224" i="17"/>
  <c r="W224" i="17" s="1"/>
  <c r="P224" i="17"/>
  <c r="H224" i="17" a="1"/>
  <c r="E224" i="17"/>
  <c r="X223" i="17" a="1"/>
  <c r="O223" i="17" s="1" a="1"/>
  <c r="U223" i="17"/>
  <c r="W223" i="17" s="1"/>
  <c r="P223" i="17"/>
  <c r="H223" i="17" a="1"/>
  <c r="E223" i="17"/>
  <c r="X222" i="17" a="1"/>
  <c r="O222" i="17" s="1" a="1"/>
  <c r="U222" i="17"/>
  <c r="W222" i="17" s="1"/>
  <c r="P222" i="17"/>
  <c r="H222" i="17" a="1"/>
  <c r="E222" i="17"/>
  <c r="X221" i="17" a="1"/>
  <c r="O221" i="17" s="1" a="1"/>
  <c r="U221" i="17"/>
  <c r="W221" i="17" s="1"/>
  <c r="P221" i="17"/>
  <c r="H221" i="17" a="1"/>
  <c r="E221" i="17"/>
  <c r="X220" i="17" a="1"/>
  <c r="O220" i="17" s="1" a="1"/>
  <c r="U220" i="17"/>
  <c r="W220" i="17" s="1"/>
  <c r="P220" i="17"/>
  <c r="H220" i="17" a="1"/>
  <c r="E220" i="17"/>
  <c r="X219" i="17" a="1"/>
  <c r="O219" i="17" s="1" a="1"/>
  <c r="U219" i="17"/>
  <c r="W219" i="17" s="1"/>
  <c r="P219" i="17"/>
  <c r="H219" i="17" a="1"/>
  <c r="E219" i="17"/>
  <c r="X218" i="17" a="1"/>
  <c r="O218" i="17" s="1" a="1"/>
  <c r="U218" i="17"/>
  <c r="W218" i="17" s="1"/>
  <c r="P218" i="17"/>
  <c r="H218" i="17" a="1"/>
  <c r="E218" i="17"/>
  <c r="X217" i="17" a="1"/>
  <c r="O217" i="17" s="1" a="1"/>
  <c r="U217" i="17"/>
  <c r="W217" i="17" s="1"/>
  <c r="P217" i="17"/>
  <c r="H217" i="17" a="1"/>
  <c r="E217" i="17"/>
  <c r="X216" i="17" a="1"/>
  <c r="O216" i="17" s="1" a="1"/>
  <c r="U216" i="17"/>
  <c r="W216" i="17" s="1"/>
  <c r="P216" i="17"/>
  <c r="H216" i="17" a="1"/>
  <c r="E216" i="17"/>
  <c r="X215" i="17" a="1"/>
  <c r="O215" i="17" s="1" a="1"/>
  <c r="U215" i="17"/>
  <c r="W215" i="17" s="1"/>
  <c r="P215" i="17"/>
  <c r="H215" i="17" a="1"/>
  <c r="E215" i="17"/>
  <c r="X214" i="17" a="1"/>
  <c r="O214" i="17" s="1" a="1"/>
  <c r="U214" i="17"/>
  <c r="W214" i="17" s="1"/>
  <c r="P214" i="17"/>
  <c r="H214" i="17" a="1"/>
  <c r="E214" i="17"/>
  <c r="X213" i="17" a="1"/>
  <c r="O213" i="17" s="1" a="1"/>
  <c r="U213" i="17"/>
  <c r="W213" i="17" s="1"/>
  <c r="P213" i="17"/>
  <c r="H213" i="17" a="1"/>
  <c r="E213" i="17"/>
  <c r="X212" i="17" a="1"/>
  <c r="O212" i="17" s="1" a="1"/>
  <c r="U212" i="17"/>
  <c r="W212" i="17" s="1"/>
  <c r="P212" i="17"/>
  <c r="H212" i="17" a="1"/>
  <c r="E212" i="17"/>
  <c r="X211" i="17" a="1"/>
  <c r="O211" i="17" s="1" a="1"/>
  <c r="U211" i="17"/>
  <c r="W211" i="17" s="1"/>
  <c r="P211" i="17"/>
  <c r="H211" i="17" a="1"/>
  <c r="E211" i="17"/>
  <c r="X210" i="17" a="1"/>
  <c r="O210" i="17" s="1" a="1"/>
  <c r="U210" i="17"/>
  <c r="W210" i="17" s="1"/>
  <c r="P210" i="17"/>
  <c r="H210" i="17" a="1"/>
  <c r="E210" i="17"/>
  <c r="X209" i="17" a="1"/>
  <c r="O209" i="17" s="1" a="1"/>
  <c r="U209" i="17"/>
  <c r="W209" i="17" s="1"/>
  <c r="P209" i="17"/>
  <c r="H209" i="17" a="1"/>
  <c r="E209" i="17"/>
  <c r="X208" i="17" a="1"/>
  <c r="O208" i="17" s="1" a="1"/>
  <c r="U208" i="17"/>
  <c r="W208" i="17" s="1"/>
  <c r="P208" i="17"/>
  <c r="H208" i="17" a="1"/>
  <c r="E208" i="17"/>
  <c r="X207" i="17" a="1"/>
  <c r="O207" i="17" s="1" a="1"/>
  <c r="U207" i="17"/>
  <c r="W207" i="17" s="1"/>
  <c r="P207" i="17"/>
  <c r="H207" i="17" a="1"/>
  <c r="E207" i="17"/>
  <c r="X206" i="17" a="1"/>
  <c r="O206" i="17" s="1" a="1"/>
  <c r="U206" i="17"/>
  <c r="W206" i="17" s="1"/>
  <c r="P206" i="17"/>
  <c r="H206" i="17" a="1"/>
  <c r="E206" i="17"/>
  <c r="X205" i="17" a="1"/>
  <c r="O205" i="17" s="1" a="1"/>
  <c r="U205" i="17"/>
  <c r="W205" i="17" s="1"/>
  <c r="P205" i="17"/>
  <c r="H205" i="17" a="1"/>
  <c r="E205" i="17"/>
  <c r="X204" i="17" a="1"/>
  <c r="O204" i="17" s="1" a="1"/>
  <c r="U204" i="17"/>
  <c r="W204" i="17" s="1"/>
  <c r="P204" i="17"/>
  <c r="H204" i="17" a="1"/>
  <c r="E204" i="17"/>
  <c r="X203" i="17" a="1"/>
  <c r="O203" i="17" s="1" a="1"/>
  <c r="U203" i="17"/>
  <c r="W203" i="17" s="1"/>
  <c r="P203" i="17"/>
  <c r="H203" i="17" a="1"/>
  <c r="E203" i="17"/>
  <c r="X202" i="17" a="1"/>
  <c r="O202" i="17" s="1" a="1"/>
  <c r="U202" i="17"/>
  <c r="W202" i="17" s="1"/>
  <c r="P202" i="17"/>
  <c r="H202" i="17" a="1"/>
  <c r="E202" i="17"/>
  <c r="X201" i="17" a="1"/>
  <c r="O201" i="17" s="1" a="1"/>
  <c r="U201" i="17"/>
  <c r="W201" i="17" s="1"/>
  <c r="P201" i="17"/>
  <c r="H201" i="17" a="1"/>
  <c r="E201" i="17"/>
  <c r="X200" i="17" a="1"/>
  <c r="O200" i="17" s="1" a="1"/>
  <c r="U200" i="17"/>
  <c r="W200" i="17" s="1"/>
  <c r="P200" i="17"/>
  <c r="H200" i="17" a="1"/>
  <c r="E200" i="17"/>
  <c r="X199" i="17" a="1"/>
  <c r="O199" i="17" s="1" a="1"/>
  <c r="U199" i="17"/>
  <c r="W199" i="17" s="1"/>
  <c r="P199" i="17"/>
  <c r="H199" i="17" a="1"/>
  <c r="E199" i="17"/>
  <c r="X198" i="17" a="1"/>
  <c r="O198" i="17" s="1" a="1"/>
  <c r="U198" i="17"/>
  <c r="W198" i="17" s="1"/>
  <c r="P198" i="17"/>
  <c r="H198" i="17" a="1"/>
  <c r="E198" i="17"/>
  <c r="X197" i="17" a="1"/>
  <c r="O197" i="17" s="1" a="1"/>
  <c r="U197" i="17"/>
  <c r="W197" i="17" s="1"/>
  <c r="P197" i="17"/>
  <c r="H197" i="17" a="1"/>
  <c r="E197" i="17"/>
  <c r="X196" i="17" a="1"/>
  <c r="O196" i="17" s="1" a="1"/>
  <c r="U196" i="17"/>
  <c r="W196" i="17" s="1"/>
  <c r="P196" i="17"/>
  <c r="H196" i="17" a="1"/>
  <c r="E196" i="17"/>
  <c r="X195" i="17" a="1"/>
  <c r="O195" i="17" s="1" a="1"/>
  <c r="U195" i="17"/>
  <c r="W195" i="17" s="1"/>
  <c r="P195" i="17"/>
  <c r="H195" i="17" a="1"/>
  <c r="E195" i="17"/>
  <c r="X194" i="17" a="1"/>
  <c r="O194" i="17" s="1" a="1"/>
  <c r="U194" i="17"/>
  <c r="W194" i="17" s="1"/>
  <c r="P194" i="17"/>
  <c r="H194" i="17" a="1"/>
  <c r="E194" i="17"/>
  <c r="X193" i="17" a="1"/>
  <c r="O193" i="17" s="1" a="1"/>
  <c r="U193" i="17"/>
  <c r="W193" i="17" s="1"/>
  <c r="P193" i="17"/>
  <c r="H193" i="17" a="1"/>
  <c r="E193" i="17"/>
  <c r="X192" i="17" a="1"/>
  <c r="O192" i="17" s="1" a="1"/>
  <c r="U192" i="17"/>
  <c r="W192" i="17" s="1"/>
  <c r="P192" i="17"/>
  <c r="H192" i="17" a="1"/>
  <c r="E192" i="17"/>
  <c r="X191" i="17" a="1"/>
  <c r="O191" i="17" s="1" a="1"/>
  <c r="U191" i="17"/>
  <c r="W191" i="17" s="1"/>
  <c r="P191" i="17"/>
  <c r="H191" i="17" a="1"/>
  <c r="E191" i="17"/>
  <c r="X190" i="17" a="1"/>
  <c r="O190" i="17" s="1" a="1"/>
  <c r="U190" i="17"/>
  <c r="W190" i="17" s="1"/>
  <c r="P190" i="17"/>
  <c r="H190" i="17" a="1"/>
  <c r="E190" i="17"/>
  <c r="X189" i="17" a="1"/>
  <c r="O189" i="17" s="1" a="1"/>
  <c r="U189" i="17"/>
  <c r="W189" i="17" s="1"/>
  <c r="P189" i="17"/>
  <c r="H189" i="17" a="1"/>
  <c r="E189" i="17"/>
  <c r="X188" i="17" a="1"/>
  <c r="O188" i="17" s="1" a="1"/>
  <c r="U188" i="17"/>
  <c r="W188" i="17" s="1"/>
  <c r="P188" i="17"/>
  <c r="H188" i="17" a="1"/>
  <c r="E188" i="17"/>
  <c r="X187" i="17" a="1"/>
  <c r="O187" i="17" s="1" a="1"/>
  <c r="U187" i="17"/>
  <c r="W187" i="17" s="1"/>
  <c r="P187" i="17"/>
  <c r="H187" i="17" a="1"/>
  <c r="E187" i="17"/>
  <c r="X186" i="17" a="1"/>
  <c r="O186" i="17" s="1" a="1"/>
  <c r="U186" i="17"/>
  <c r="W186" i="17" s="1"/>
  <c r="P186" i="17"/>
  <c r="H186" i="17" a="1"/>
  <c r="E186" i="17"/>
  <c r="X185" i="17" a="1"/>
  <c r="O185" i="17" s="1" a="1"/>
  <c r="U185" i="17"/>
  <c r="W185" i="17" s="1"/>
  <c r="P185" i="17"/>
  <c r="H185" i="17" a="1"/>
  <c r="E185" i="17"/>
  <c r="X184" i="17" a="1"/>
  <c r="O184" i="17" s="1" a="1"/>
  <c r="U184" i="17"/>
  <c r="W184" i="17" s="1"/>
  <c r="P184" i="17"/>
  <c r="H184" i="17" a="1"/>
  <c r="E184" i="17"/>
  <c r="X183" i="17" a="1"/>
  <c r="O183" i="17" s="1" a="1"/>
  <c r="U183" i="17"/>
  <c r="W183" i="17" s="1"/>
  <c r="P183" i="17"/>
  <c r="H183" i="17" a="1"/>
  <c r="E183" i="17"/>
  <c r="X182" i="17" a="1"/>
  <c r="O182" i="17" s="1" a="1"/>
  <c r="U182" i="17"/>
  <c r="W182" i="17" s="1"/>
  <c r="P182" i="17"/>
  <c r="H182" i="17" a="1"/>
  <c r="E182" i="17"/>
  <c r="X181" i="17" a="1"/>
  <c r="O181" i="17" s="1" a="1"/>
  <c r="U181" i="17"/>
  <c r="W181" i="17" s="1"/>
  <c r="P181" i="17"/>
  <c r="H181" i="17" a="1"/>
  <c r="E181" i="17"/>
  <c r="X180" i="17" a="1"/>
  <c r="O180" i="17" s="1" a="1"/>
  <c r="U180" i="17"/>
  <c r="W180" i="17" s="1"/>
  <c r="P180" i="17"/>
  <c r="H180" i="17" a="1"/>
  <c r="E180" i="17"/>
  <c r="X179" i="17" a="1"/>
  <c r="O179" i="17" s="1" a="1"/>
  <c r="U179" i="17"/>
  <c r="W179" i="17" s="1"/>
  <c r="P179" i="17"/>
  <c r="H179" i="17" a="1"/>
  <c r="E179" i="17"/>
  <c r="X178" i="17" a="1"/>
  <c r="O178" i="17" s="1" a="1"/>
  <c r="U178" i="17"/>
  <c r="W178" i="17" s="1"/>
  <c r="P178" i="17"/>
  <c r="H178" i="17" a="1"/>
  <c r="E178" i="17"/>
  <c r="X177" i="17" a="1"/>
  <c r="O177" i="17" s="1" a="1"/>
  <c r="U177" i="17"/>
  <c r="W177" i="17" s="1"/>
  <c r="P177" i="17"/>
  <c r="H177" i="17" a="1"/>
  <c r="E177" i="17"/>
  <c r="X176" i="17" a="1"/>
  <c r="O176" i="17" s="1" a="1"/>
  <c r="U176" i="17"/>
  <c r="W176" i="17" s="1"/>
  <c r="P176" i="17"/>
  <c r="H176" i="17" a="1"/>
  <c r="E176" i="17"/>
  <c r="X175" i="17" a="1"/>
  <c r="O175" i="17" s="1" a="1"/>
  <c r="U175" i="17"/>
  <c r="W175" i="17" s="1"/>
  <c r="P175" i="17"/>
  <c r="H175" i="17" a="1"/>
  <c r="E175" i="17"/>
  <c r="X174" i="17" a="1"/>
  <c r="O174" i="17" s="1" a="1"/>
  <c r="U174" i="17"/>
  <c r="W174" i="17" s="1"/>
  <c r="P174" i="17"/>
  <c r="H174" i="17" a="1"/>
  <c r="E174" i="17"/>
  <c r="X173" i="17" a="1"/>
  <c r="O173" i="17" s="1" a="1"/>
  <c r="U173" i="17"/>
  <c r="W173" i="17" s="1"/>
  <c r="P173" i="17"/>
  <c r="H173" i="17" a="1"/>
  <c r="E173" i="17"/>
  <c r="X172" i="17" a="1"/>
  <c r="O172" i="17" s="1" a="1"/>
  <c r="U172" i="17"/>
  <c r="W172" i="17" s="1"/>
  <c r="P172" i="17"/>
  <c r="H172" i="17" a="1"/>
  <c r="E172" i="17"/>
  <c r="X171" i="17" a="1"/>
  <c r="O171" i="17" s="1" a="1"/>
  <c r="U171" i="17"/>
  <c r="W171" i="17" s="1"/>
  <c r="P171" i="17"/>
  <c r="H171" i="17" a="1"/>
  <c r="E171" i="17"/>
  <c r="X170" i="17" a="1"/>
  <c r="O170" i="17" s="1" a="1"/>
  <c r="U170" i="17"/>
  <c r="W170" i="17" s="1"/>
  <c r="P170" i="17"/>
  <c r="H170" i="17" a="1"/>
  <c r="E170" i="17"/>
  <c r="X169" i="17" a="1"/>
  <c r="O169" i="17" s="1" a="1"/>
  <c r="U169" i="17"/>
  <c r="W169" i="17" s="1"/>
  <c r="P169" i="17"/>
  <c r="H169" i="17" a="1"/>
  <c r="E169" i="17"/>
  <c r="X168" i="17" a="1"/>
  <c r="O168" i="17" s="1" a="1"/>
  <c r="U168" i="17"/>
  <c r="W168" i="17" s="1"/>
  <c r="P168" i="17"/>
  <c r="H168" i="17" a="1"/>
  <c r="E168" i="17"/>
  <c r="X167" i="17" a="1"/>
  <c r="O167" i="17" s="1" a="1"/>
  <c r="U167" i="17"/>
  <c r="W167" i="17" s="1"/>
  <c r="P167" i="17"/>
  <c r="H167" i="17" a="1"/>
  <c r="E167" i="17"/>
  <c r="X166" i="17" a="1"/>
  <c r="O166" i="17" s="1" a="1"/>
  <c r="U166" i="17"/>
  <c r="W166" i="17" s="1"/>
  <c r="P166" i="17"/>
  <c r="H166" i="17" a="1"/>
  <c r="E166" i="17"/>
  <c r="X165" i="17" a="1"/>
  <c r="O165" i="17" s="1" a="1"/>
  <c r="U165" i="17"/>
  <c r="W165" i="17" s="1"/>
  <c r="P165" i="17"/>
  <c r="H165" i="17" a="1"/>
  <c r="E165" i="17"/>
  <c r="X164" i="17" a="1"/>
  <c r="O164" i="17" s="1" a="1"/>
  <c r="U164" i="17"/>
  <c r="W164" i="17" s="1"/>
  <c r="P164" i="17"/>
  <c r="H164" i="17" a="1"/>
  <c r="E164" i="17"/>
  <c r="X163" i="17" a="1"/>
  <c r="O163" i="17" s="1" a="1"/>
  <c r="U163" i="17"/>
  <c r="W163" i="17" s="1"/>
  <c r="P163" i="17"/>
  <c r="H163" i="17" a="1"/>
  <c r="E163" i="17"/>
  <c r="X162" i="17" a="1"/>
  <c r="O162" i="17" s="1" a="1"/>
  <c r="U162" i="17"/>
  <c r="W162" i="17" s="1"/>
  <c r="P162" i="17"/>
  <c r="H162" i="17" a="1"/>
  <c r="E162" i="17"/>
  <c r="X161" i="17" a="1"/>
  <c r="O161" i="17" s="1" a="1"/>
  <c r="U161" i="17"/>
  <c r="W161" i="17" s="1"/>
  <c r="P161" i="17"/>
  <c r="H161" i="17" a="1"/>
  <c r="E161" i="17"/>
  <c r="X160" i="17" a="1"/>
  <c r="O160" i="17" s="1" a="1"/>
  <c r="U160" i="17"/>
  <c r="W160" i="17" s="1"/>
  <c r="P160" i="17"/>
  <c r="H160" i="17" a="1"/>
  <c r="E160" i="17"/>
  <c r="X159" i="17" a="1"/>
  <c r="O159" i="17" s="1" a="1"/>
  <c r="U159" i="17"/>
  <c r="W159" i="17" s="1"/>
  <c r="P159" i="17"/>
  <c r="H159" i="17" a="1"/>
  <c r="E159" i="17"/>
  <c r="X158" i="17" a="1"/>
  <c r="O158" i="17" s="1" a="1"/>
  <c r="U158" i="17"/>
  <c r="W158" i="17" s="1"/>
  <c r="P158" i="17"/>
  <c r="H158" i="17" a="1"/>
  <c r="E158" i="17"/>
  <c r="X157" i="17" a="1"/>
  <c r="O157" i="17" s="1" a="1"/>
  <c r="U157" i="17"/>
  <c r="W157" i="17" s="1"/>
  <c r="P157" i="17"/>
  <c r="H157" i="17" a="1"/>
  <c r="E157" i="17"/>
  <c r="X156" i="17" a="1"/>
  <c r="O156" i="17" s="1" a="1"/>
  <c r="U156" i="17"/>
  <c r="W156" i="17" s="1"/>
  <c r="S156" i="17"/>
  <c r="M156" i="17" s="1" a="1"/>
  <c r="N156" i="17" s="1"/>
  <c r="P156" i="17"/>
  <c r="H156" i="17" a="1"/>
  <c r="E156" i="17"/>
  <c r="X155" i="17" a="1"/>
  <c r="O155" i="17" s="1" a="1"/>
  <c r="U155" i="17"/>
  <c r="W155" i="17" s="1"/>
  <c r="P155" i="17"/>
  <c r="H155" i="17" a="1"/>
  <c r="E155" i="17"/>
  <c r="X154" i="17" a="1"/>
  <c r="O154" i="17" s="1" a="1"/>
  <c r="U154" i="17"/>
  <c r="W154" i="17" s="1"/>
  <c r="P154" i="17"/>
  <c r="H154" i="17" a="1"/>
  <c r="E154" i="17"/>
  <c r="X153" i="17" a="1"/>
  <c r="O153" i="17" s="1" a="1"/>
  <c r="U153" i="17"/>
  <c r="W153" i="17" s="1"/>
  <c r="P153" i="17"/>
  <c r="H153" i="17" a="1"/>
  <c r="E153" i="17"/>
  <c r="X152" i="17" a="1"/>
  <c r="O152" i="17" s="1" a="1"/>
  <c r="U152" i="17"/>
  <c r="W152" i="17" s="1"/>
  <c r="P152" i="17"/>
  <c r="H152" i="17" a="1"/>
  <c r="E152" i="17"/>
  <c r="X151" i="17" a="1"/>
  <c r="O151" i="17" s="1" a="1"/>
  <c r="U151" i="17"/>
  <c r="W151" i="17" s="1"/>
  <c r="P151" i="17"/>
  <c r="H151" i="17" a="1"/>
  <c r="E151" i="17"/>
  <c r="X150" i="17" a="1"/>
  <c r="O150" i="17" s="1" a="1"/>
  <c r="U150" i="17"/>
  <c r="W150" i="17" s="1"/>
  <c r="P150" i="17"/>
  <c r="H150" i="17" a="1"/>
  <c r="E150" i="17"/>
  <c r="X149" i="17" a="1"/>
  <c r="O149" i="17" s="1" a="1"/>
  <c r="U149" i="17"/>
  <c r="W149" i="17" s="1"/>
  <c r="P149" i="17"/>
  <c r="H149" i="17" a="1"/>
  <c r="E149" i="17"/>
  <c r="X148" i="17" a="1"/>
  <c r="O148" i="17" s="1" a="1"/>
  <c r="U148" i="17"/>
  <c r="P148" i="17"/>
  <c r="H148" i="17" a="1"/>
  <c r="E148" i="17"/>
  <c r="X147" i="17" a="1"/>
  <c r="O147" i="17" s="1" a="1"/>
  <c r="U147" i="17"/>
  <c r="P147" i="17"/>
  <c r="H147" i="17" a="1"/>
  <c r="E147" i="17"/>
  <c r="X146" i="17" a="1"/>
  <c r="O146" i="17" s="1" a="1"/>
  <c r="U146" i="17"/>
  <c r="P146" i="17"/>
  <c r="H146" i="17" a="1"/>
  <c r="E146" i="17"/>
  <c r="X145" i="17" a="1"/>
  <c r="O145" i="17" s="1" a="1"/>
  <c r="U145" i="17"/>
  <c r="P145" i="17"/>
  <c r="H145" i="17" a="1"/>
  <c r="E145" i="17"/>
  <c r="X144" i="17" a="1"/>
  <c r="O144" i="17" s="1" a="1"/>
  <c r="U144" i="17"/>
  <c r="P144" i="17"/>
  <c r="H144" i="17" a="1"/>
  <c r="E144" i="17"/>
  <c r="X143" i="17" a="1"/>
  <c r="O143" i="17" s="1" a="1"/>
  <c r="U143" i="17"/>
  <c r="P143" i="17"/>
  <c r="H143" i="17" a="1"/>
  <c r="E143" i="17"/>
  <c r="X142" i="17" a="1"/>
  <c r="O142" i="17" s="1" a="1"/>
  <c r="U142" i="17"/>
  <c r="P142" i="17"/>
  <c r="H142" i="17" a="1"/>
  <c r="E142" i="17"/>
  <c r="X141" i="17" a="1"/>
  <c r="O141" i="17" s="1" a="1"/>
  <c r="U141" i="17"/>
  <c r="P141" i="17"/>
  <c r="H141" i="17" a="1"/>
  <c r="E141" i="17"/>
  <c r="X140" i="17" a="1"/>
  <c r="O140" i="17" s="1" a="1"/>
  <c r="U140" i="17"/>
  <c r="P140" i="17"/>
  <c r="H140" i="17" a="1"/>
  <c r="E140" i="17"/>
  <c r="X139" i="17" a="1"/>
  <c r="O139" i="17" s="1" a="1"/>
  <c r="U139" i="17"/>
  <c r="P139" i="17"/>
  <c r="H139" i="17" a="1"/>
  <c r="E139" i="17"/>
  <c r="X138" i="17" a="1"/>
  <c r="O138" i="17" s="1" a="1"/>
  <c r="U138" i="17"/>
  <c r="P138" i="17"/>
  <c r="H138" i="17" a="1"/>
  <c r="E138" i="17"/>
  <c r="X137" i="17" a="1"/>
  <c r="O137" i="17" s="1" a="1"/>
  <c r="U137" i="17"/>
  <c r="P137" i="17"/>
  <c r="H137" i="17" a="1"/>
  <c r="E137" i="17"/>
  <c r="X136" i="17" a="1"/>
  <c r="O136" i="17" s="1" a="1"/>
  <c r="U136" i="17"/>
  <c r="P136" i="17"/>
  <c r="H136" i="17" a="1"/>
  <c r="E136" i="17"/>
  <c r="X135" i="17" a="1"/>
  <c r="O135" i="17" s="1" a="1"/>
  <c r="T135" i="17"/>
  <c r="U135" i="17" s="1"/>
  <c r="P135" i="17"/>
  <c r="H135" i="17" a="1"/>
  <c r="E135" i="17"/>
  <c r="X134" i="17" a="1"/>
  <c r="O134" i="17" s="1" a="1"/>
  <c r="U134" i="17"/>
  <c r="P134" i="17"/>
  <c r="H134" i="17" a="1"/>
  <c r="E134" i="17"/>
  <c r="X133" i="17" a="1"/>
  <c r="O133" i="17" s="1" a="1"/>
  <c r="U133" i="17"/>
  <c r="W133" i="17" s="1"/>
  <c r="P133" i="17"/>
  <c r="H133" i="17" a="1"/>
  <c r="E133" i="17"/>
  <c r="X132" i="17" a="1"/>
  <c r="O132" i="17" s="1" a="1"/>
  <c r="U132" i="17"/>
  <c r="W132" i="17" s="1"/>
  <c r="P132" i="17"/>
  <c r="H132" i="17" a="1"/>
  <c r="E132" i="17"/>
  <c r="X131" i="17" a="1"/>
  <c r="O131" i="17" s="1" a="1"/>
  <c r="U131" i="17"/>
  <c r="W131" i="17" s="1"/>
  <c r="P131" i="17"/>
  <c r="H131" i="17" a="1"/>
  <c r="E131" i="17"/>
  <c r="X130" i="17" a="1"/>
  <c r="O130" i="17" s="1" a="1"/>
  <c r="U130" i="17"/>
  <c r="W130" i="17" s="1"/>
  <c r="P130" i="17"/>
  <c r="H130" i="17" a="1"/>
  <c r="E130" i="17"/>
  <c r="X129" i="17" a="1"/>
  <c r="O129" i="17" s="1" a="1"/>
  <c r="U129" i="17"/>
  <c r="W129" i="17" s="1"/>
  <c r="P129" i="17"/>
  <c r="H129" i="17" a="1"/>
  <c r="E129" i="17"/>
  <c r="X128" i="17" a="1"/>
  <c r="O128" i="17" s="1" a="1"/>
  <c r="U128" i="17"/>
  <c r="W128" i="17" s="1"/>
  <c r="P128" i="17"/>
  <c r="H128" i="17" a="1"/>
  <c r="E128" i="17"/>
  <c r="X127" i="17" a="1"/>
  <c r="O127" i="17" s="1" a="1"/>
  <c r="U127" i="17"/>
  <c r="W127" i="17" s="1"/>
  <c r="P127" i="17"/>
  <c r="H127" i="17" a="1"/>
  <c r="E127" i="17"/>
  <c r="X126" i="17" a="1"/>
  <c r="O126" i="17" s="1" a="1"/>
  <c r="U126" i="17"/>
  <c r="W126" i="17" s="1"/>
  <c r="P126" i="17"/>
  <c r="H126" i="17" a="1"/>
  <c r="E126" i="17"/>
  <c r="X125" i="17" a="1"/>
  <c r="O125" i="17" s="1" a="1"/>
  <c r="U125" i="17"/>
  <c r="W125" i="17" s="1"/>
  <c r="P125" i="17"/>
  <c r="H125" i="17" a="1"/>
  <c r="E125" i="17"/>
  <c r="X124" i="17" a="1"/>
  <c r="O124" i="17" s="1" a="1"/>
  <c r="U124" i="17"/>
  <c r="W124" i="17" s="1"/>
  <c r="P124" i="17"/>
  <c r="H124" i="17" a="1"/>
  <c r="E124" i="17"/>
  <c r="X123" i="17" a="1"/>
  <c r="O123" i="17" s="1" a="1"/>
  <c r="U123" i="17"/>
  <c r="W123" i="17" s="1"/>
  <c r="P123" i="17"/>
  <c r="H123" i="17" a="1"/>
  <c r="E123" i="17"/>
  <c r="X122" i="17" a="1"/>
  <c r="O122" i="17" s="1" a="1"/>
  <c r="U122" i="17"/>
  <c r="W122" i="17" s="1"/>
  <c r="P122" i="17"/>
  <c r="H122" i="17" a="1"/>
  <c r="E122" i="17"/>
  <c r="X121" i="17" a="1"/>
  <c r="O121" i="17" s="1" a="1"/>
  <c r="U121" i="17"/>
  <c r="W121" i="17" s="1"/>
  <c r="P121" i="17"/>
  <c r="H121" i="17" a="1"/>
  <c r="E121" i="17"/>
  <c r="X120" i="17" a="1"/>
  <c r="O120" i="17" s="1" a="1"/>
  <c r="U120" i="17"/>
  <c r="W120" i="17" s="1"/>
  <c r="P120" i="17"/>
  <c r="H120" i="17" a="1"/>
  <c r="E120" i="17"/>
  <c r="X119" i="17" a="1"/>
  <c r="O119" i="17" s="1" a="1"/>
  <c r="U119" i="17"/>
  <c r="W119" i="17" s="1"/>
  <c r="P119" i="17"/>
  <c r="H119" i="17" a="1"/>
  <c r="E119" i="17"/>
  <c r="X118" i="17" a="1"/>
  <c r="O118" i="17" s="1" a="1"/>
  <c r="U118" i="17"/>
  <c r="W118" i="17" s="1"/>
  <c r="P118" i="17"/>
  <c r="H118" i="17" a="1"/>
  <c r="E118" i="17"/>
  <c r="X117" i="17" a="1"/>
  <c r="O117" i="17" s="1" a="1"/>
  <c r="U117" i="17"/>
  <c r="W117" i="17" s="1"/>
  <c r="P117" i="17"/>
  <c r="H117" i="17" a="1"/>
  <c r="E117" i="17"/>
  <c r="X116" i="17" a="1"/>
  <c r="O116" i="17" s="1" a="1"/>
  <c r="U116" i="17"/>
  <c r="W116" i="17" s="1"/>
  <c r="P116" i="17"/>
  <c r="H116" i="17" a="1"/>
  <c r="E116" i="17"/>
  <c r="X115" i="17" a="1"/>
  <c r="O115" i="17" s="1" a="1"/>
  <c r="U115" i="17"/>
  <c r="W115" i="17" s="1"/>
  <c r="P115" i="17"/>
  <c r="H115" i="17" a="1"/>
  <c r="E115" i="17"/>
  <c r="X114" i="17" a="1"/>
  <c r="O114" i="17" s="1" a="1"/>
  <c r="U114" i="17"/>
  <c r="W114" i="17" s="1"/>
  <c r="P114" i="17"/>
  <c r="H114" i="17" a="1"/>
  <c r="E114" i="17"/>
  <c r="X113" i="17" a="1"/>
  <c r="O113" i="17" s="1" a="1"/>
  <c r="U113" i="17"/>
  <c r="W113" i="17" s="1"/>
  <c r="P113" i="17"/>
  <c r="H113" i="17" a="1"/>
  <c r="E113" i="17"/>
  <c r="X112" i="17" a="1"/>
  <c r="O112" i="17" s="1" a="1"/>
  <c r="U112" i="17"/>
  <c r="W112" i="17" s="1"/>
  <c r="P112" i="17"/>
  <c r="H112" i="17" a="1"/>
  <c r="E112" i="17"/>
  <c r="X111" i="17" a="1"/>
  <c r="O111" i="17" s="1" a="1"/>
  <c r="U111" i="17"/>
  <c r="W111" i="17" s="1"/>
  <c r="P111" i="17"/>
  <c r="H111" i="17" a="1"/>
  <c r="E111" i="17"/>
  <c r="X110" i="17" a="1"/>
  <c r="O110" i="17" s="1" a="1"/>
  <c r="U110" i="17"/>
  <c r="W110" i="17" s="1"/>
  <c r="P110" i="17"/>
  <c r="H110" i="17" a="1"/>
  <c r="E110" i="17"/>
  <c r="X109" i="17" a="1"/>
  <c r="O109" i="17" s="1" a="1"/>
  <c r="U109" i="17"/>
  <c r="W109" i="17" s="1"/>
  <c r="P109" i="17"/>
  <c r="H109" i="17" a="1"/>
  <c r="E109" i="17"/>
  <c r="X108" i="17" a="1"/>
  <c r="O108" i="17" s="1" a="1"/>
  <c r="U108" i="17"/>
  <c r="W108" i="17" s="1"/>
  <c r="P108" i="17"/>
  <c r="H108" i="17" a="1"/>
  <c r="E108" i="17"/>
  <c r="X107" i="17" a="1"/>
  <c r="O107" i="17" s="1" a="1"/>
  <c r="U107" i="17"/>
  <c r="W107" i="17" s="1"/>
  <c r="P107" i="17"/>
  <c r="H107" i="17" a="1"/>
  <c r="E107" i="17"/>
  <c r="X106" i="17" a="1"/>
  <c r="O106" i="17" s="1" a="1"/>
  <c r="U106" i="17"/>
  <c r="W106" i="17" s="1"/>
  <c r="P106" i="17"/>
  <c r="H106" i="17" a="1"/>
  <c r="E106" i="17"/>
  <c r="X105" i="17" a="1"/>
  <c r="O105" i="17" s="1" a="1"/>
  <c r="U105" i="17"/>
  <c r="W105" i="17" s="1"/>
  <c r="P105" i="17"/>
  <c r="H105" i="17" a="1"/>
  <c r="E105" i="17"/>
  <c r="X104" i="17" a="1"/>
  <c r="O104" i="17" s="1" a="1"/>
  <c r="U104" i="17"/>
  <c r="W104" i="17" s="1"/>
  <c r="P104" i="17"/>
  <c r="H104" i="17" a="1"/>
  <c r="E104" i="17"/>
  <c r="X103" i="17" a="1"/>
  <c r="O103" i="17" s="1" a="1"/>
  <c r="U103" i="17"/>
  <c r="W103" i="17" s="1"/>
  <c r="P103" i="17"/>
  <c r="H103" i="17" a="1"/>
  <c r="E103" i="17"/>
  <c r="X102" i="17" a="1"/>
  <c r="O102" i="17" s="1" a="1"/>
  <c r="Q102" i="17"/>
  <c r="U102" i="17" s="1"/>
  <c r="W102" i="17" s="1"/>
  <c r="P102" i="17"/>
  <c r="H102" i="17" a="1"/>
  <c r="E102" i="17"/>
  <c r="X101" i="17" a="1"/>
  <c r="O101" i="17" s="1" a="1"/>
  <c r="U101" i="17"/>
  <c r="W101" i="17" s="1"/>
  <c r="P101" i="17"/>
  <c r="L101" i="17"/>
  <c r="H101" i="17" a="1"/>
  <c r="E101" i="17"/>
  <c r="X100" i="17" a="1"/>
  <c r="O100" i="17" s="1" a="1"/>
  <c r="U100" i="17"/>
  <c r="W100" i="17" s="1"/>
  <c r="P100" i="17"/>
  <c r="H100" i="17" a="1"/>
  <c r="E100" i="17"/>
  <c r="X99" i="17" a="1"/>
  <c r="O99" i="17" s="1" a="1"/>
  <c r="U99" i="17"/>
  <c r="W99" i="17" s="1"/>
  <c r="P99" i="17"/>
  <c r="H99" i="17" a="1"/>
  <c r="E99" i="17"/>
  <c r="X98" i="17" a="1"/>
  <c r="O98" i="17" s="1" a="1"/>
  <c r="U98" i="17"/>
  <c r="W98" i="17" s="1"/>
  <c r="P98" i="17"/>
  <c r="H98" i="17" a="1"/>
  <c r="E98" i="17"/>
  <c r="X97" i="17" a="1"/>
  <c r="O97" i="17" s="1" a="1"/>
  <c r="U97" i="17"/>
  <c r="W97" i="17" s="1"/>
  <c r="P97" i="17"/>
  <c r="L97" i="17"/>
  <c r="H97" i="17" a="1"/>
  <c r="E97" i="17"/>
  <c r="X96" i="17" a="1"/>
  <c r="O96" i="17" s="1" a="1"/>
  <c r="U96" i="17"/>
  <c r="W96" i="17" s="1"/>
  <c r="P96" i="17"/>
  <c r="H96" i="17" a="1"/>
  <c r="E96" i="17"/>
  <c r="X95" i="17" a="1"/>
  <c r="O95" i="17" s="1" a="1"/>
  <c r="U95" i="17"/>
  <c r="W95" i="17" s="1"/>
  <c r="P95" i="17"/>
  <c r="L95" i="17"/>
  <c r="H95" i="17" a="1"/>
  <c r="E95" i="17"/>
  <c r="X94" i="17" a="1"/>
  <c r="O94" i="17" s="1" a="1"/>
  <c r="U94" i="17"/>
  <c r="W94" i="17" s="1"/>
  <c r="P94" i="17"/>
  <c r="L94" i="17"/>
  <c r="H94" i="17" a="1"/>
  <c r="E94" i="17"/>
  <c r="X93" i="17" a="1"/>
  <c r="O93" i="17" s="1" a="1"/>
  <c r="U93" i="17"/>
  <c r="W93" i="17" s="1"/>
  <c r="P93" i="17"/>
  <c r="L93" i="17"/>
  <c r="H93" i="17" a="1"/>
  <c r="E93" i="17"/>
  <c r="X92" i="17" a="1"/>
  <c r="O92" i="17" s="1" a="1"/>
  <c r="U92" i="17"/>
  <c r="W92" i="17" s="1"/>
  <c r="P92" i="17"/>
  <c r="H92" i="17" a="1"/>
  <c r="E92" i="17"/>
  <c r="X91" i="17" a="1"/>
  <c r="O91" i="17" s="1" a="1"/>
  <c r="U91" i="17"/>
  <c r="W91" i="17" s="1"/>
  <c r="P91" i="17"/>
  <c r="H91" i="17" a="1"/>
  <c r="E91" i="17"/>
  <c r="X90" i="17" a="1"/>
  <c r="O90" i="17" s="1" a="1"/>
  <c r="U90" i="17"/>
  <c r="W90" i="17" s="1"/>
  <c r="P90" i="17"/>
  <c r="L90" i="17"/>
  <c r="H90" i="17" a="1"/>
  <c r="E90" i="17"/>
  <c r="X89" i="17" a="1"/>
  <c r="O89" i="17" s="1" a="1"/>
  <c r="U89" i="17"/>
  <c r="W89" i="17" s="1"/>
  <c r="P89" i="17"/>
  <c r="H89" i="17" a="1"/>
  <c r="E89" i="17"/>
  <c r="X88" i="17" a="1"/>
  <c r="O88" i="17" s="1" a="1"/>
  <c r="U88" i="17"/>
  <c r="W88" i="17" s="1"/>
  <c r="P88" i="17"/>
  <c r="H88" i="17" a="1"/>
  <c r="E88" i="17"/>
  <c r="X87" i="17" a="1"/>
  <c r="O87" i="17" s="1" a="1"/>
  <c r="U87" i="17"/>
  <c r="W87" i="17" s="1"/>
  <c r="P87" i="17"/>
  <c r="H87" i="17" a="1"/>
  <c r="E87" i="17"/>
  <c r="X86" i="17" a="1"/>
  <c r="O86" i="17" s="1" a="1"/>
  <c r="U86" i="17"/>
  <c r="W86" i="17" s="1"/>
  <c r="P86" i="17"/>
  <c r="L86" i="17"/>
  <c r="H86" i="17" a="1"/>
  <c r="E86" i="17"/>
  <c r="X85" i="17" a="1"/>
  <c r="O85" i="17" s="1" a="1"/>
  <c r="U85" i="17"/>
  <c r="W85" i="17" s="1"/>
  <c r="P85" i="17"/>
  <c r="H85" i="17" a="1"/>
  <c r="E85" i="17"/>
  <c r="X84" i="17" a="1"/>
  <c r="O84" i="17" s="1" a="1"/>
  <c r="U84" i="17"/>
  <c r="W84" i="17" s="1"/>
  <c r="P84" i="17"/>
  <c r="H84" i="17" a="1"/>
  <c r="E84" i="17"/>
  <c r="X83" i="17" a="1"/>
  <c r="O83" i="17" s="1" a="1"/>
  <c r="U83" i="17"/>
  <c r="W83" i="17" s="1"/>
  <c r="P83" i="17"/>
  <c r="L83" i="17"/>
  <c r="H83" i="17" a="1"/>
  <c r="E83" i="17"/>
  <c r="X82" i="17" a="1"/>
  <c r="O82" i="17" s="1" a="1"/>
  <c r="U82" i="17"/>
  <c r="W82" i="17" s="1"/>
  <c r="P82" i="17"/>
  <c r="H82" i="17" a="1"/>
  <c r="E82" i="17"/>
  <c r="X81" i="17" a="1"/>
  <c r="O81" i="17" s="1" a="1"/>
  <c r="U81" i="17"/>
  <c r="W81" i="17" s="1"/>
  <c r="P81" i="17"/>
  <c r="H81" i="17" a="1"/>
  <c r="E81" i="17"/>
  <c r="X80" i="17" a="1"/>
  <c r="O80" i="17" s="1" a="1"/>
  <c r="U80" i="17"/>
  <c r="W80" i="17" s="1"/>
  <c r="P80" i="17"/>
  <c r="H80" i="17" a="1"/>
  <c r="E80" i="17"/>
  <c r="X79" i="17" a="1"/>
  <c r="O79" i="17" s="1" a="1"/>
  <c r="U79" i="17"/>
  <c r="W79" i="17" s="1"/>
  <c r="P79" i="17"/>
  <c r="H79" i="17" a="1"/>
  <c r="E79" i="17"/>
  <c r="X78" i="17" a="1"/>
  <c r="O78" i="17" s="1" a="1"/>
  <c r="U78" i="17"/>
  <c r="W78" i="17" s="1"/>
  <c r="P78" i="17"/>
  <c r="H78" i="17" a="1"/>
  <c r="E78" i="17"/>
  <c r="X77" i="17" a="1"/>
  <c r="O77" i="17" s="1" a="1"/>
  <c r="U77" i="17"/>
  <c r="W77" i="17" s="1"/>
  <c r="P77" i="17"/>
  <c r="H77" i="17" a="1"/>
  <c r="E77" i="17"/>
  <c r="X76" i="17" a="1"/>
  <c r="O76" i="17" s="1" a="1"/>
  <c r="U76" i="17"/>
  <c r="W76" i="17" s="1"/>
  <c r="P76" i="17"/>
  <c r="H76" i="17" a="1"/>
  <c r="E76" i="17"/>
  <c r="X75" i="17" a="1"/>
  <c r="O75" i="17" s="1" a="1"/>
  <c r="U75" i="17"/>
  <c r="W75" i="17" s="1"/>
  <c r="P75" i="17"/>
  <c r="H75" i="17" a="1"/>
  <c r="E75" i="17"/>
  <c r="X74" i="17" a="1"/>
  <c r="O74" i="17" s="1" a="1"/>
  <c r="U74" i="17"/>
  <c r="W74" i="17" s="1"/>
  <c r="P74" i="17"/>
  <c r="H74" i="17" a="1"/>
  <c r="E74" i="17"/>
  <c r="X73" i="17" a="1"/>
  <c r="O73" i="17" s="1" a="1"/>
  <c r="U73" i="17"/>
  <c r="W73" i="17" s="1"/>
  <c r="P73" i="17"/>
  <c r="H73" i="17" a="1"/>
  <c r="E73" i="17"/>
  <c r="X72" i="17" a="1"/>
  <c r="O72" i="17" s="1" a="1"/>
  <c r="U72" i="17"/>
  <c r="W72" i="17" s="1"/>
  <c r="P72" i="17"/>
  <c r="H72" i="17" a="1"/>
  <c r="E72" i="17"/>
  <c r="X71" i="17" a="1"/>
  <c r="O71" i="17" s="1" a="1"/>
  <c r="U71" i="17"/>
  <c r="W71" i="17" s="1"/>
  <c r="P71" i="17"/>
  <c r="H71" i="17" a="1"/>
  <c r="E71" i="17"/>
  <c r="X70" i="17" a="1"/>
  <c r="O70" i="17" s="1" a="1"/>
  <c r="P70" i="17"/>
  <c r="H70" i="17" a="1"/>
  <c r="E70" i="17"/>
  <c r="X69" i="17" a="1"/>
  <c r="O69" i="17" s="1" a="1"/>
  <c r="P69" i="17"/>
  <c r="H69" i="17" a="1"/>
  <c r="E69" i="17"/>
  <c r="X68" i="17" a="1"/>
  <c r="O68" i="17" s="1" a="1"/>
  <c r="U68" i="17"/>
  <c r="W68" i="17" s="1"/>
  <c r="P68" i="17"/>
  <c r="H68" i="17" a="1"/>
  <c r="E68" i="17"/>
  <c r="X67" i="17" a="1"/>
  <c r="O67" i="17" s="1" a="1"/>
  <c r="U67" i="17"/>
  <c r="W67" i="17" s="1"/>
  <c r="P67" i="17"/>
  <c r="H67" i="17" a="1"/>
  <c r="E67" i="17"/>
  <c r="X66" i="17" a="1"/>
  <c r="O66" i="17" s="1" a="1"/>
  <c r="U66" i="17"/>
  <c r="W66" i="17" s="1"/>
  <c r="P66" i="17"/>
  <c r="H66" i="17" a="1"/>
  <c r="E66" i="17"/>
  <c r="X65" i="17" a="1"/>
  <c r="O65" i="17" s="1" a="1"/>
  <c r="U65" i="17"/>
  <c r="W65" i="17" s="1"/>
  <c r="P65" i="17"/>
  <c r="H65" i="17" a="1"/>
  <c r="E65" i="17"/>
  <c r="X64" i="17" a="1"/>
  <c r="O64" i="17" s="1" a="1"/>
  <c r="U64" i="17"/>
  <c r="W64" i="17" s="1"/>
  <c r="P64" i="17"/>
  <c r="H64" i="17" a="1"/>
  <c r="E64" i="17"/>
  <c r="X63" i="17" a="1"/>
  <c r="O63" i="17" s="1" a="1"/>
  <c r="U63" i="17"/>
  <c r="W63" i="17" s="1"/>
  <c r="P63" i="17"/>
  <c r="H63" i="17" a="1"/>
  <c r="E63" i="17"/>
  <c r="X62" i="17" a="1"/>
  <c r="O62" i="17" s="1" a="1"/>
  <c r="U62" i="17"/>
  <c r="W62" i="17" s="1"/>
  <c r="P62" i="17"/>
  <c r="H62" i="17" a="1"/>
  <c r="E62" i="17"/>
  <c r="X61" i="17" a="1"/>
  <c r="O61" i="17" s="1" a="1"/>
  <c r="U61" i="17"/>
  <c r="W61" i="17" s="1"/>
  <c r="P61" i="17"/>
  <c r="H61" i="17" a="1"/>
  <c r="E61" i="17"/>
  <c r="X60" i="17" a="1"/>
  <c r="O60" i="17" s="1" a="1"/>
  <c r="U60" i="17"/>
  <c r="W60" i="17" s="1"/>
  <c r="P60" i="17"/>
  <c r="J60" i="17"/>
  <c r="H60" i="17" a="1"/>
  <c r="E60" i="17"/>
  <c r="X59" i="17" a="1"/>
  <c r="O59" i="17" s="1" a="1"/>
  <c r="U59" i="17"/>
  <c r="W59" i="17" s="1"/>
  <c r="P59" i="17"/>
  <c r="H59" i="17" a="1"/>
  <c r="E59" i="17"/>
  <c r="X58" i="17" a="1"/>
  <c r="O58" i="17" s="1" a="1"/>
  <c r="U58" i="17"/>
  <c r="W58" i="17" s="1"/>
  <c r="P58" i="17"/>
  <c r="H58" i="17" a="1"/>
  <c r="E58" i="17"/>
  <c r="X57" i="17" a="1"/>
  <c r="O57" i="17" s="1" a="1"/>
  <c r="U57" i="17"/>
  <c r="W57" i="17" s="1"/>
  <c r="P57" i="17"/>
  <c r="H57" i="17" a="1"/>
  <c r="E57" i="17"/>
  <c r="X56" i="17" a="1"/>
  <c r="O56" i="17" s="1" a="1"/>
  <c r="U56" i="17"/>
  <c r="W56" i="17" s="1"/>
  <c r="P56" i="17"/>
  <c r="H56" i="17" a="1"/>
  <c r="E56" i="17"/>
  <c r="X55" i="17" a="1"/>
  <c r="O55" i="17" s="1" a="1"/>
  <c r="U55" i="17"/>
  <c r="W55" i="17" s="1"/>
  <c r="P55" i="17"/>
  <c r="H55" i="17" a="1"/>
  <c r="E55" i="17"/>
  <c r="X54" i="17" a="1"/>
  <c r="O54" i="17" s="1" a="1"/>
  <c r="U54" i="17"/>
  <c r="W54" i="17" s="1"/>
  <c r="P54" i="17"/>
  <c r="H54" i="17" a="1"/>
  <c r="E54" i="17"/>
  <c r="X53" i="17" a="1"/>
  <c r="O53" i="17" s="1" a="1"/>
  <c r="U53" i="17"/>
  <c r="W53" i="17" s="1"/>
  <c r="P53" i="17"/>
  <c r="J53" i="17"/>
  <c r="H53" i="17" a="1"/>
  <c r="E53" i="17"/>
  <c r="X52" i="17" a="1"/>
  <c r="O52" i="17" s="1" a="1"/>
  <c r="U52" i="17"/>
  <c r="W52" i="17" s="1"/>
  <c r="P52" i="17"/>
  <c r="H52" i="17" a="1"/>
  <c r="E52" i="17"/>
  <c r="X51" i="17" a="1"/>
  <c r="O51" i="17" s="1" a="1"/>
  <c r="U51" i="17"/>
  <c r="W51" i="17" s="1"/>
  <c r="P51" i="17"/>
  <c r="H51" i="17" a="1"/>
  <c r="E51" i="17"/>
  <c r="X50" i="17" a="1"/>
  <c r="O50" i="17" s="1" a="1"/>
  <c r="U50" i="17"/>
  <c r="W50" i="17" s="1"/>
  <c r="P50" i="17"/>
  <c r="H50" i="17" a="1"/>
  <c r="E50" i="17"/>
  <c r="X49" i="17" a="1"/>
  <c r="O49" i="17" s="1" a="1"/>
  <c r="U49" i="17"/>
  <c r="W49" i="17" s="1"/>
  <c r="P49" i="17"/>
  <c r="H49" i="17" a="1"/>
  <c r="E49" i="17"/>
  <c r="X48" i="17" a="1"/>
  <c r="O48" i="17" s="1" a="1"/>
  <c r="U48" i="17"/>
  <c r="W48" i="17" s="1"/>
  <c r="P48" i="17"/>
  <c r="H48" i="17" a="1"/>
  <c r="E48" i="17"/>
  <c r="X47" i="17" a="1"/>
  <c r="O47" i="17" s="1" a="1"/>
  <c r="U47" i="17"/>
  <c r="W47" i="17" s="1"/>
  <c r="P47" i="17"/>
  <c r="H47" i="17" a="1"/>
  <c r="E47" i="17"/>
  <c r="X46" i="17" a="1"/>
  <c r="O46" i="17" s="1" a="1"/>
  <c r="U46" i="17"/>
  <c r="W46" i="17" s="1"/>
  <c r="P46" i="17"/>
  <c r="H46" i="17" a="1"/>
  <c r="E46" i="17"/>
  <c r="X45" i="17" a="1"/>
  <c r="O45" i="17" s="1" a="1"/>
  <c r="U45" i="17"/>
  <c r="W45" i="17" s="1"/>
  <c r="P45" i="17"/>
  <c r="H45" i="17" a="1"/>
  <c r="E45" i="17"/>
  <c r="X44" i="17" a="1"/>
  <c r="O44" i="17" s="1" a="1"/>
  <c r="U44" i="17"/>
  <c r="W44" i="17" s="1"/>
  <c r="P44" i="17"/>
  <c r="H44" i="17" a="1"/>
  <c r="E44" i="17"/>
  <c r="X43" i="17" a="1"/>
  <c r="O43" i="17" s="1" a="1"/>
  <c r="U43" i="17"/>
  <c r="W43" i="17" s="1"/>
  <c r="R43" i="17"/>
  <c r="P43" i="17"/>
  <c r="H43" i="17" a="1"/>
  <c r="E43" i="17"/>
  <c r="X42" i="17" a="1"/>
  <c r="O42" i="17" s="1" a="1"/>
  <c r="U42" i="17"/>
  <c r="W42" i="17" s="1"/>
  <c r="P42" i="17"/>
  <c r="H42" i="17" a="1"/>
  <c r="E42" i="17"/>
  <c r="X41" i="17" a="1"/>
  <c r="O41" i="17" s="1" a="1"/>
  <c r="U41" i="17"/>
  <c r="W41" i="17" s="1"/>
  <c r="P41" i="17"/>
  <c r="H41" i="17" a="1"/>
  <c r="E41" i="17"/>
  <c r="X40" i="17" a="1"/>
  <c r="O40" i="17" s="1" a="1"/>
  <c r="U40" i="17"/>
  <c r="W40" i="17" s="1"/>
  <c r="P40" i="17"/>
  <c r="H40" i="17" a="1"/>
  <c r="E40" i="17"/>
  <c r="X39" i="17" a="1"/>
  <c r="O39" i="17" s="1" a="1"/>
  <c r="U39" i="17"/>
  <c r="W39" i="17" s="1"/>
  <c r="P39" i="17"/>
  <c r="J39" i="17"/>
  <c r="H39" i="17" a="1"/>
  <c r="E39" i="17"/>
  <c r="X38" i="17" a="1"/>
  <c r="O38" i="17" s="1" a="1"/>
  <c r="U38" i="17"/>
  <c r="W38" i="17" s="1"/>
  <c r="P38" i="17"/>
  <c r="H38" i="17" a="1"/>
  <c r="E38" i="17"/>
  <c r="X37" i="17" a="1"/>
  <c r="O37" i="17" s="1" a="1"/>
  <c r="U37" i="17"/>
  <c r="W37" i="17" s="1"/>
  <c r="P37" i="17"/>
  <c r="H37" i="17" a="1"/>
  <c r="E37" i="17"/>
  <c r="X36" i="17" a="1"/>
  <c r="O36" i="17" s="1" a="1"/>
  <c r="U36" i="17"/>
  <c r="W36" i="17" s="1"/>
  <c r="P36" i="17"/>
  <c r="H36" i="17" a="1"/>
  <c r="E36" i="17"/>
  <c r="X35" i="17" a="1"/>
  <c r="O35" i="17" s="1" a="1"/>
  <c r="U35" i="17"/>
  <c r="W35" i="17" s="1"/>
  <c r="P35" i="17"/>
  <c r="H35" i="17" a="1"/>
  <c r="E35" i="17"/>
  <c r="X34" i="17" a="1"/>
  <c r="O34" i="17" s="1" a="1"/>
  <c r="U34" i="17"/>
  <c r="W34" i="17" s="1"/>
  <c r="P34" i="17"/>
  <c r="H34" i="17" a="1"/>
  <c r="E34" i="17"/>
  <c r="X33" i="17" a="1"/>
  <c r="O33" i="17" s="1" a="1"/>
  <c r="U33" i="17"/>
  <c r="W33" i="17" s="1"/>
  <c r="P33" i="17"/>
  <c r="H33" i="17" a="1"/>
  <c r="E33" i="17"/>
  <c r="X32" i="17" a="1"/>
  <c r="O32" i="17" s="1" a="1"/>
  <c r="U32" i="17"/>
  <c r="W32" i="17" s="1"/>
  <c r="P32" i="17"/>
  <c r="H32" i="17" a="1"/>
  <c r="E32" i="17"/>
  <c r="X31" i="17" a="1"/>
  <c r="O31" i="17" s="1" a="1"/>
  <c r="U31" i="17"/>
  <c r="W31" i="17" s="1"/>
  <c r="P31" i="17"/>
  <c r="H31" i="17" a="1"/>
  <c r="E31" i="17"/>
  <c r="X30" i="17" a="1"/>
  <c r="O30" i="17" s="1" a="1"/>
  <c r="U30" i="17"/>
  <c r="W30" i="17" s="1"/>
  <c r="P30" i="17"/>
  <c r="H30" i="17" a="1"/>
  <c r="E30" i="17"/>
  <c r="X29" i="17" a="1"/>
  <c r="O29" i="17" s="1" a="1"/>
  <c r="U29" i="17"/>
  <c r="W29" i="17" s="1"/>
  <c r="P29" i="17"/>
  <c r="H29" i="17" a="1"/>
  <c r="E29" i="17"/>
  <c r="X28" i="17" a="1"/>
  <c r="O28" i="17" s="1" a="1"/>
  <c r="U28" i="17"/>
  <c r="W28" i="17" s="1"/>
  <c r="P28" i="17"/>
  <c r="H28" i="17" a="1"/>
  <c r="E28" i="17"/>
  <c r="X27" i="17" a="1"/>
  <c r="O27" i="17" s="1" a="1"/>
  <c r="U27" i="17"/>
  <c r="W27" i="17" s="1"/>
  <c r="P27" i="17"/>
  <c r="H27" i="17" a="1"/>
  <c r="E27" i="17"/>
  <c r="X26" i="17" a="1"/>
  <c r="O26" i="17" s="1" a="1"/>
  <c r="U26" i="17"/>
  <c r="W26" i="17" s="1"/>
  <c r="P26" i="17"/>
  <c r="H26" i="17" a="1"/>
  <c r="E26" i="17"/>
  <c r="X25" i="17" a="1"/>
  <c r="O25" i="17" s="1" a="1"/>
  <c r="U25" i="17"/>
  <c r="W25" i="17" s="1"/>
  <c r="P25" i="17"/>
  <c r="H25" i="17" a="1"/>
  <c r="E25" i="17"/>
  <c r="X24" i="17" a="1"/>
  <c r="O24" i="17" s="1" a="1"/>
  <c r="U24" i="17"/>
  <c r="W24" i="17" s="1"/>
  <c r="P24" i="17"/>
  <c r="H24" i="17" a="1"/>
  <c r="E24" i="17"/>
  <c r="X23" i="17" a="1"/>
  <c r="O23" i="17" s="1" a="1"/>
  <c r="U23" i="17"/>
  <c r="W23" i="17" s="1"/>
  <c r="P23" i="17"/>
  <c r="H23" i="17" a="1"/>
  <c r="E23" i="17"/>
  <c r="X22" i="17" a="1"/>
  <c r="O22" i="17" s="1" a="1"/>
  <c r="U22" i="17"/>
  <c r="W22" i="17" s="1"/>
  <c r="P22" i="17"/>
  <c r="H22" i="17" a="1"/>
  <c r="E22" i="17"/>
  <c r="X21" i="17" a="1"/>
  <c r="O21" i="17" s="1" a="1"/>
  <c r="U21" i="17"/>
  <c r="W21" i="17" s="1"/>
  <c r="P21" i="17"/>
  <c r="H21" i="17" a="1"/>
  <c r="E21" i="17"/>
  <c r="X20" i="17" a="1"/>
  <c r="O20" i="17" s="1" a="1"/>
  <c r="U20" i="17"/>
  <c r="W20" i="17" s="1"/>
  <c r="P20" i="17"/>
  <c r="H20" i="17" a="1"/>
  <c r="E20" i="17"/>
  <c r="X19" i="17" a="1"/>
  <c r="O19" i="17" s="1" a="1"/>
  <c r="U19" i="17"/>
  <c r="W19" i="17" s="1"/>
  <c r="P19" i="17"/>
  <c r="H19" i="17" a="1"/>
  <c r="E19" i="17"/>
  <c r="X18" i="17" a="1"/>
  <c r="O18" i="17" s="1" a="1"/>
  <c r="U18" i="17"/>
  <c r="W18" i="17" s="1"/>
  <c r="P18" i="17"/>
  <c r="H18" i="17" a="1"/>
  <c r="E18" i="17"/>
  <c r="X17" i="17" a="1"/>
  <c r="O17" i="17" s="1" a="1"/>
  <c r="U17" i="17"/>
  <c r="P17" i="17"/>
  <c r="H17" i="17" a="1"/>
  <c r="E17" i="17"/>
  <c r="X16" i="17" a="1"/>
  <c r="O16" i="17" s="1" a="1"/>
  <c r="U16" i="17"/>
  <c r="R16" i="17"/>
  <c r="P16" i="17"/>
  <c r="H16" i="17" a="1"/>
  <c r="E16" i="17"/>
  <c r="X15" i="17" a="1"/>
  <c r="O15" i="17" s="1" a="1"/>
  <c r="U15" i="17"/>
  <c r="P15" i="17"/>
  <c r="H15" i="17" a="1"/>
  <c r="E15" i="17"/>
  <c r="X14" i="17" a="1"/>
  <c r="O14" i="17" s="1" a="1"/>
  <c r="U14" i="17"/>
  <c r="P14" i="17"/>
  <c r="H14" i="17" a="1"/>
  <c r="E14" i="17"/>
  <c r="X13" i="17" a="1"/>
  <c r="O13" i="17" s="1" a="1"/>
  <c r="U13" i="17"/>
  <c r="P13" i="17"/>
  <c r="H13" i="17" a="1"/>
  <c r="E13" i="17"/>
  <c r="X12" i="17" a="1"/>
  <c r="O12" i="17" s="1" a="1"/>
  <c r="U12" i="17"/>
  <c r="P12" i="17"/>
  <c r="H12" i="17" a="1"/>
  <c r="E12" i="17"/>
  <c r="X11" i="17" a="1"/>
  <c r="O11" i="17" s="1" a="1"/>
  <c r="U11" i="17"/>
  <c r="P11" i="17"/>
  <c r="H11" i="17" a="1"/>
  <c r="E11" i="17"/>
  <c r="X10" i="17" a="1"/>
  <c r="O10" i="17" s="1" a="1"/>
  <c r="U10" i="17"/>
  <c r="P10" i="17"/>
  <c r="H10" i="17" a="1"/>
  <c r="E10" i="17"/>
  <c r="X9" i="17" a="1"/>
  <c r="O9" i="17" s="1" a="1"/>
  <c r="U9" i="17"/>
  <c r="P9" i="17"/>
  <c r="H9" i="17" a="1"/>
  <c r="E9" i="17"/>
  <c r="X8" i="17" a="1"/>
  <c r="O8" i="17" s="1" a="1"/>
  <c r="U8" i="17"/>
  <c r="P8" i="17"/>
  <c r="H8" i="17" a="1"/>
  <c r="E8" i="17"/>
  <c r="X7" i="17" a="1"/>
  <c r="O7" i="17" s="1" a="1"/>
  <c r="U7" i="17"/>
  <c r="P7" i="17"/>
  <c r="H7" i="17" a="1"/>
  <c r="E7" i="17"/>
  <c r="X6" i="17" a="1"/>
  <c r="O6" i="17" s="1" a="1"/>
  <c r="U6" i="17"/>
  <c r="P6" i="17"/>
  <c r="H6" i="17" a="1"/>
  <c r="E6" i="17"/>
  <c r="X5" i="17" a="1"/>
  <c r="O5" i="17" s="1" a="1"/>
  <c r="U5" i="17"/>
  <c r="P5" i="17"/>
  <c r="H5" i="17" a="1"/>
  <c r="E5" i="17"/>
  <c r="X4" i="17" a="1"/>
  <c r="O4" i="17" s="1" a="1"/>
  <c r="U4" i="17"/>
  <c r="P4" i="17"/>
  <c r="H4" i="17" a="1"/>
  <c r="E4" i="17"/>
  <c r="X3" i="17" a="1"/>
  <c r="O3" i="17" s="1" a="1"/>
  <c r="U3" i="17"/>
  <c r="P3" i="17"/>
  <c r="H3" i="17" a="1"/>
  <c r="E3" i="17"/>
  <c r="X2" i="17" a="1"/>
  <c r="O2" i="17" s="1" a="1"/>
  <c r="U2" i="17"/>
  <c r="P2" i="17"/>
  <c r="H2" i="17" a="1"/>
  <c r="E2" i="17"/>
  <c r="R993" i="14"/>
  <c r="Q993" i="14"/>
  <c r="P993" i="14"/>
  <c r="O993" i="14"/>
  <c r="N993" i="14"/>
  <c r="L993" i="14"/>
  <c r="K993" i="14"/>
  <c r="J993" i="14"/>
  <c r="B993" i="14"/>
  <c r="R992" i="14"/>
  <c r="Q992" i="14"/>
  <c r="P992" i="14"/>
  <c r="O992" i="14"/>
  <c r="N992" i="14"/>
  <c r="L992" i="14"/>
  <c r="K992" i="14"/>
  <c r="J992" i="14"/>
  <c r="B992" i="14"/>
  <c r="R991" i="14"/>
  <c r="Q991" i="14"/>
  <c r="P991" i="14"/>
  <c r="O991" i="14"/>
  <c r="N991" i="14"/>
  <c r="L991" i="14"/>
  <c r="K991" i="14"/>
  <c r="J991" i="14"/>
  <c r="B991" i="14"/>
  <c r="R990" i="14"/>
  <c r="Q990" i="14"/>
  <c r="P990" i="14"/>
  <c r="O990" i="14"/>
  <c r="N990" i="14"/>
  <c r="L990" i="14"/>
  <c r="K990" i="14"/>
  <c r="J990" i="14"/>
  <c r="B990" i="14"/>
  <c r="R989" i="14"/>
  <c r="Q989" i="14"/>
  <c r="P989" i="14"/>
  <c r="O989" i="14"/>
  <c r="N989" i="14"/>
  <c r="L989" i="14"/>
  <c r="K989" i="14"/>
  <c r="J989" i="14"/>
  <c r="B989" i="14"/>
  <c r="R988" i="14"/>
  <c r="Q988" i="14"/>
  <c r="P988" i="14"/>
  <c r="O988" i="14"/>
  <c r="N988" i="14"/>
  <c r="L988" i="14"/>
  <c r="K988" i="14"/>
  <c r="J988" i="14"/>
  <c r="B988" i="14"/>
  <c r="R987" i="14"/>
  <c r="Q987" i="14"/>
  <c r="P987" i="14"/>
  <c r="O987" i="14"/>
  <c r="N987" i="14"/>
  <c r="L987" i="14"/>
  <c r="K987" i="14"/>
  <c r="J987" i="14"/>
  <c r="B987" i="14"/>
  <c r="R986" i="14"/>
  <c r="Q986" i="14"/>
  <c r="P986" i="14"/>
  <c r="O986" i="14"/>
  <c r="N986" i="14"/>
  <c r="L986" i="14"/>
  <c r="K986" i="14"/>
  <c r="J986" i="14"/>
  <c r="B986" i="14"/>
  <c r="R985" i="14"/>
  <c r="Q985" i="14"/>
  <c r="P985" i="14"/>
  <c r="O985" i="14"/>
  <c r="N985" i="14"/>
  <c r="L985" i="14"/>
  <c r="K985" i="14"/>
  <c r="J985" i="14"/>
  <c r="B985" i="14"/>
  <c r="R984" i="14"/>
  <c r="Q984" i="14"/>
  <c r="P984" i="14"/>
  <c r="O984" i="14"/>
  <c r="N984" i="14"/>
  <c r="L984" i="14"/>
  <c r="K984" i="14"/>
  <c r="J984" i="14"/>
  <c r="B984" i="14"/>
  <c r="R983" i="14"/>
  <c r="Q983" i="14"/>
  <c r="P983" i="14"/>
  <c r="O983" i="14"/>
  <c r="N983" i="14"/>
  <c r="L983" i="14"/>
  <c r="K983" i="14"/>
  <c r="J983" i="14"/>
  <c r="B983" i="14"/>
  <c r="R982" i="14"/>
  <c r="Q982" i="14"/>
  <c r="P982" i="14"/>
  <c r="O982" i="14"/>
  <c r="N982" i="14"/>
  <c r="L982" i="14"/>
  <c r="K982" i="14"/>
  <c r="J982" i="14"/>
  <c r="B982" i="14"/>
  <c r="R981" i="14"/>
  <c r="Q981" i="14"/>
  <c r="P981" i="14"/>
  <c r="O981" i="14"/>
  <c r="N981" i="14"/>
  <c r="L981" i="14"/>
  <c r="K981" i="14"/>
  <c r="J981" i="14"/>
  <c r="B981" i="14"/>
  <c r="R980" i="14"/>
  <c r="Q980" i="14"/>
  <c r="P980" i="14"/>
  <c r="O980" i="14"/>
  <c r="N980" i="14"/>
  <c r="L980" i="14"/>
  <c r="K980" i="14"/>
  <c r="J980" i="14"/>
  <c r="B980" i="14"/>
  <c r="R979" i="14"/>
  <c r="Q979" i="14"/>
  <c r="P979" i="14"/>
  <c r="O979" i="14"/>
  <c r="N979" i="14"/>
  <c r="L979" i="14"/>
  <c r="K979" i="14"/>
  <c r="J979" i="14"/>
  <c r="B979" i="14"/>
  <c r="R978" i="14"/>
  <c r="Q978" i="14"/>
  <c r="P978" i="14"/>
  <c r="O978" i="14"/>
  <c r="N978" i="14"/>
  <c r="L978" i="14"/>
  <c r="K978" i="14"/>
  <c r="J978" i="14"/>
  <c r="B978" i="14"/>
  <c r="R977" i="14"/>
  <c r="Q977" i="14"/>
  <c r="P977" i="14"/>
  <c r="O977" i="14"/>
  <c r="N977" i="14"/>
  <c r="L977" i="14"/>
  <c r="K977" i="14"/>
  <c r="J977" i="14"/>
  <c r="B977" i="14"/>
  <c r="R976" i="14"/>
  <c r="Q976" i="14"/>
  <c r="P976" i="14"/>
  <c r="O976" i="14"/>
  <c r="N976" i="14"/>
  <c r="L976" i="14"/>
  <c r="K976" i="14"/>
  <c r="J976" i="14"/>
  <c r="B976" i="14"/>
  <c r="R975" i="14"/>
  <c r="Q975" i="14"/>
  <c r="P975" i="14"/>
  <c r="O975" i="14"/>
  <c r="N975" i="14"/>
  <c r="L975" i="14"/>
  <c r="K975" i="14"/>
  <c r="J975" i="14"/>
  <c r="B975" i="14"/>
  <c r="R974" i="14"/>
  <c r="Q974" i="14"/>
  <c r="P974" i="14"/>
  <c r="O974" i="14"/>
  <c r="N974" i="14"/>
  <c r="L974" i="14"/>
  <c r="K974" i="14"/>
  <c r="J974" i="14"/>
  <c r="B974" i="14"/>
  <c r="R973" i="14"/>
  <c r="Q973" i="14"/>
  <c r="P973" i="14"/>
  <c r="O973" i="14"/>
  <c r="N973" i="14"/>
  <c r="L973" i="14"/>
  <c r="K973" i="14"/>
  <c r="J973" i="14"/>
  <c r="B973" i="14"/>
  <c r="R972" i="14"/>
  <c r="Q972" i="14"/>
  <c r="P972" i="14"/>
  <c r="O972" i="14"/>
  <c r="N972" i="14"/>
  <c r="L972" i="14"/>
  <c r="K972" i="14"/>
  <c r="J972" i="14"/>
  <c r="B972" i="14"/>
  <c r="R971" i="14"/>
  <c r="Q971" i="14"/>
  <c r="P971" i="14"/>
  <c r="O971" i="14"/>
  <c r="N971" i="14"/>
  <c r="L971" i="14"/>
  <c r="K971" i="14"/>
  <c r="J971" i="14"/>
  <c r="B971" i="14"/>
  <c r="R970" i="14"/>
  <c r="Q970" i="14"/>
  <c r="P970" i="14"/>
  <c r="O970" i="14"/>
  <c r="N970" i="14"/>
  <c r="L970" i="14"/>
  <c r="K970" i="14"/>
  <c r="J970" i="14"/>
  <c r="B970" i="14"/>
  <c r="R969" i="14"/>
  <c r="Q969" i="14"/>
  <c r="P969" i="14"/>
  <c r="O969" i="14"/>
  <c r="N969" i="14"/>
  <c r="L969" i="14"/>
  <c r="K969" i="14"/>
  <c r="J969" i="14"/>
  <c r="B969" i="14"/>
  <c r="R968" i="14"/>
  <c r="Q968" i="14"/>
  <c r="P968" i="14"/>
  <c r="O968" i="14"/>
  <c r="N968" i="14"/>
  <c r="L968" i="14"/>
  <c r="K968" i="14"/>
  <c r="J968" i="14"/>
  <c r="B968" i="14"/>
  <c r="R967" i="14"/>
  <c r="Q967" i="14"/>
  <c r="P967" i="14"/>
  <c r="O967" i="14"/>
  <c r="N967" i="14"/>
  <c r="L967" i="14"/>
  <c r="K967" i="14"/>
  <c r="J967" i="14"/>
  <c r="B967" i="14"/>
  <c r="R966" i="14"/>
  <c r="Q966" i="14"/>
  <c r="P966" i="14"/>
  <c r="O966" i="14"/>
  <c r="N966" i="14"/>
  <c r="L966" i="14"/>
  <c r="K966" i="14"/>
  <c r="J966" i="14"/>
  <c r="B966" i="14"/>
  <c r="R965" i="14"/>
  <c r="Q965" i="14"/>
  <c r="P965" i="14"/>
  <c r="O965" i="14"/>
  <c r="N965" i="14"/>
  <c r="L965" i="14"/>
  <c r="K965" i="14"/>
  <c r="J965" i="14"/>
  <c r="B965" i="14"/>
  <c r="R964" i="14"/>
  <c r="Q964" i="14"/>
  <c r="P964" i="14"/>
  <c r="O964" i="14"/>
  <c r="N964" i="14"/>
  <c r="L964" i="14"/>
  <c r="K964" i="14"/>
  <c r="J964" i="14"/>
  <c r="B964" i="14"/>
  <c r="R963" i="14"/>
  <c r="Q963" i="14"/>
  <c r="P963" i="14"/>
  <c r="O963" i="14"/>
  <c r="N963" i="14"/>
  <c r="L963" i="14"/>
  <c r="K963" i="14"/>
  <c r="J963" i="14"/>
  <c r="B963" i="14"/>
  <c r="R962" i="14"/>
  <c r="Q962" i="14"/>
  <c r="P962" i="14"/>
  <c r="O962" i="14"/>
  <c r="N962" i="14"/>
  <c r="L962" i="14"/>
  <c r="K962" i="14"/>
  <c r="J962" i="14"/>
  <c r="B962" i="14"/>
  <c r="R961" i="14"/>
  <c r="Q961" i="14"/>
  <c r="P961" i="14"/>
  <c r="O961" i="14"/>
  <c r="N961" i="14"/>
  <c r="L961" i="14"/>
  <c r="K961" i="14"/>
  <c r="J961" i="14"/>
  <c r="B961" i="14"/>
  <c r="R960" i="14"/>
  <c r="Q960" i="14"/>
  <c r="P960" i="14"/>
  <c r="O960" i="14"/>
  <c r="N960" i="14"/>
  <c r="L960" i="14"/>
  <c r="K960" i="14"/>
  <c r="J960" i="14"/>
  <c r="B960" i="14"/>
  <c r="R959" i="14"/>
  <c r="Q959" i="14"/>
  <c r="P959" i="14"/>
  <c r="O959" i="14"/>
  <c r="N959" i="14"/>
  <c r="L959" i="14"/>
  <c r="K959" i="14"/>
  <c r="J959" i="14"/>
  <c r="B959" i="14"/>
  <c r="R958" i="14"/>
  <c r="Q958" i="14"/>
  <c r="P958" i="14"/>
  <c r="O958" i="14"/>
  <c r="N958" i="14"/>
  <c r="L958" i="14"/>
  <c r="K958" i="14"/>
  <c r="J958" i="14"/>
  <c r="B958" i="14"/>
  <c r="R957" i="14"/>
  <c r="Q957" i="14"/>
  <c r="P957" i="14"/>
  <c r="O957" i="14"/>
  <c r="N957" i="14"/>
  <c r="L957" i="14"/>
  <c r="K957" i="14"/>
  <c r="J957" i="14"/>
  <c r="B957" i="14"/>
  <c r="R956" i="14"/>
  <c r="Q956" i="14"/>
  <c r="P956" i="14"/>
  <c r="O956" i="14"/>
  <c r="N956" i="14"/>
  <c r="L956" i="14"/>
  <c r="K956" i="14"/>
  <c r="J956" i="14"/>
  <c r="B956" i="14"/>
  <c r="R955" i="14"/>
  <c r="Q955" i="14"/>
  <c r="P955" i="14"/>
  <c r="O955" i="14"/>
  <c r="N955" i="14"/>
  <c r="L955" i="14"/>
  <c r="K955" i="14"/>
  <c r="J955" i="14"/>
  <c r="B955" i="14"/>
  <c r="R954" i="14"/>
  <c r="Q954" i="14"/>
  <c r="P954" i="14"/>
  <c r="O954" i="14"/>
  <c r="N954" i="14"/>
  <c r="L954" i="14"/>
  <c r="K954" i="14"/>
  <c r="J954" i="14"/>
  <c r="B954" i="14"/>
  <c r="R953" i="14"/>
  <c r="Q953" i="14"/>
  <c r="P953" i="14"/>
  <c r="O953" i="14"/>
  <c r="N953" i="14"/>
  <c r="L953" i="14"/>
  <c r="K953" i="14"/>
  <c r="J953" i="14"/>
  <c r="B953" i="14"/>
  <c r="R952" i="14"/>
  <c r="Q952" i="14"/>
  <c r="P952" i="14"/>
  <c r="O952" i="14"/>
  <c r="N952" i="14"/>
  <c r="L952" i="14"/>
  <c r="K952" i="14"/>
  <c r="J952" i="14"/>
  <c r="B952" i="14"/>
  <c r="R951" i="14"/>
  <c r="Q951" i="14"/>
  <c r="P951" i="14"/>
  <c r="O951" i="14"/>
  <c r="N951" i="14"/>
  <c r="L951" i="14"/>
  <c r="K951" i="14"/>
  <c r="J951" i="14"/>
  <c r="B951" i="14"/>
  <c r="R950" i="14"/>
  <c r="Q950" i="14"/>
  <c r="P950" i="14"/>
  <c r="O950" i="14"/>
  <c r="N950" i="14"/>
  <c r="L950" i="14"/>
  <c r="K950" i="14"/>
  <c r="J950" i="14"/>
  <c r="B950" i="14"/>
  <c r="R949" i="14"/>
  <c r="Q949" i="14"/>
  <c r="P949" i="14"/>
  <c r="O949" i="14"/>
  <c r="N949" i="14"/>
  <c r="L949" i="14"/>
  <c r="K949" i="14"/>
  <c r="J949" i="14"/>
  <c r="B949" i="14"/>
  <c r="R948" i="14"/>
  <c r="Q948" i="14"/>
  <c r="P948" i="14"/>
  <c r="O948" i="14"/>
  <c r="N948" i="14"/>
  <c r="L948" i="14"/>
  <c r="K948" i="14"/>
  <c r="J948" i="14"/>
  <c r="B948" i="14"/>
  <c r="R947" i="14"/>
  <c r="Q947" i="14"/>
  <c r="P947" i="14"/>
  <c r="O947" i="14"/>
  <c r="N947" i="14"/>
  <c r="L947" i="14"/>
  <c r="K947" i="14"/>
  <c r="J947" i="14"/>
  <c r="B947" i="14"/>
  <c r="R946" i="14"/>
  <c r="Q946" i="14"/>
  <c r="P946" i="14"/>
  <c r="O946" i="14"/>
  <c r="N946" i="14"/>
  <c r="L946" i="14"/>
  <c r="K946" i="14"/>
  <c r="J946" i="14"/>
  <c r="B946" i="14"/>
  <c r="R945" i="14"/>
  <c r="Q945" i="14"/>
  <c r="P945" i="14"/>
  <c r="O945" i="14"/>
  <c r="N945" i="14"/>
  <c r="L945" i="14"/>
  <c r="K945" i="14"/>
  <c r="J945" i="14"/>
  <c r="B945" i="14"/>
  <c r="R944" i="14"/>
  <c r="Q944" i="14"/>
  <c r="P944" i="14"/>
  <c r="O944" i="14"/>
  <c r="N944" i="14"/>
  <c r="L944" i="14"/>
  <c r="K944" i="14"/>
  <c r="J944" i="14"/>
  <c r="B944" i="14"/>
  <c r="R943" i="14"/>
  <c r="Q943" i="14"/>
  <c r="P943" i="14"/>
  <c r="O943" i="14"/>
  <c r="N943" i="14"/>
  <c r="L943" i="14"/>
  <c r="K943" i="14"/>
  <c r="J943" i="14"/>
  <c r="B943" i="14"/>
  <c r="R942" i="14"/>
  <c r="Q942" i="14"/>
  <c r="P942" i="14"/>
  <c r="O942" i="14"/>
  <c r="N942" i="14"/>
  <c r="L942" i="14"/>
  <c r="K942" i="14"/>
  <c r="J942" i="14"/>
  <c r="B942" i="14"/>
  <c r="R941" i="14"/>
  <c r="Q941" i="14"/>
  <c r="P941" i="14"/>
  <c r="O941" i="14"/>
  <c r="N941" i="14"/>
  <c r="L941" i="14"/>
  <c r="K941" i="14"/>
  <c r="J941" i="14"/>
  <c r="B941" i="14"/>
  <c r="R940" i="14"/>
  <c r="Q940" i="14"/>
  <c r="P940" i="14"/>
  <c r="O940" i="14"/>
  <c r="N940" i="14"/>
  <c r="L940" i="14"/>
  <c r="K940" i="14"/>
  <c r="J940" i="14"/>
  <c r="B940" i="14"/>
  <c r="R939" i="14"/>
  <c r="Q939" i="14"/>
  <c r="P939" i="14"/>
  <c r="O939" i="14"/>
  <c r="N939" i="14"/>
  <c r="L939" i="14"/>
  <c r="K939" i="14"/>
  <c r="J939" i="14"/>
  <c r="B939" i="14"/>
  <c r="R938" i="14"/>
  <c r="Q938" i="14"/>
  <c r="P938" i="14"/>
  <c r="O938" i="14"/>
  <c r="N938" i="14"/>
  <c r="L938" i="14"/>
  <c r="K938" i="14"/>
  <c r="J938" i="14"/>
  <c r="B938" i="14"/>
  <c r="R937" i="14"/>
  <c r="Q937" i="14"/>
  <c r="P937" i="14"/>
  <c r="O937" i="14"/>
  <c r="N937" i="14"/>
  <c r="L937" i="14"/>
  <c r="K937" i="14"/>
  <c r="J937" i="14"/>
  <c r="B937" i="14"/>
  <c r="R936" i="14"/>
  <c r="Q936" i="14"/>
  <c r="P936" i="14"/>
  <c r="O936" i="14"/>
  <c r="N936" i="14"/>
  <c r="L936" i="14"/>
  <c r="K936" i="14"/>
  <c r="J936" i="14"/>
  <c r="B936" i="14"/>
  <c r="R935" i="14"/>
  <c r="Q935" i="14"/>
  <c r="P935" i="14"/>
  <c r="O935" i="14"/>
  <c r="N935" i="14"/>
  <c r="L935" i="14"/>
  <c r="K935" i="14"/>
  <c r="J935" i="14"/>
  <c r="B935" i="14"/>
  <c r="R934" i="14"/>
  <c r="Q934" i="14"/>
  <c r="P934" i="14"/>
  <c r="O934" i="14"/>
  <c r="N934" i="14"/>
  <c r="L934" i="14"/>
  <c r="K934" i="14"/>
  <c r="J934" i="14"/>
  <c r="B934" i="14"/>
  <c r="R933" i="14"/>
  <c r="Q933" i="14"/>
  <c r="P933" i="14"/>
  <c r="O933" i="14"/>
  <c r="N933" i="14"/>
  <c r="L933" i="14"/>
  <c r="K933" i="14"/>
  <c r="J933" i="14"/>
  <c r="B933" i="14"/>
  <c r="R932" i="14"/>
  <c r="Q932" i="14"/>
  <c r="P932" i="14"/>
  <c r="O932" i="14"/>
  <c r="N932" i="14"/>
  <c r="L932" i="14"/>
  <c r="K932" i="14"/>
  <c r="J932" i="14"/>
  <c r="B932" i="14"/>
  <c r="R931" i="14"/>
  <c r="Q931" i="14"/>
  <c r="P931" i="14"/>
  <c r="O931" i="14"/>
  <c r="N931" i="14"/>
  <c r="L931" i="14"/>
  <c r="K931" i="14"/>
  <c r="J931" i="14"/>
  <c r="B931" i="14"/>
  <c r="R930" i="14"/>
  <c r="Q930" i="14"/>
  <c r="P930" i="14"/>
  <c r="O930" i="14"/>
  <c r="N930" i="14"/>
  <c r="L930" i="14"/>
  <c r="K930" i="14"/>
  <c r="J930" i="14"/>
  <c r="B930" i="14"/>
  <c r="R929" i="14"/>
  <c r="Q929" i="14"/>
  <c r="P929" i="14"/>
  <c r="O929" i="14"/>
  <c r="N929" i="14"/>
  <c r="L929" i="14"/>
  <c r="K929" i="14"/>
  <c r="J929" i="14"/>
  <c r="B929" i="14"/>
  <c r="R928" i="14"/>
  <c r="Q928" i="14"/>
  <c r="P928" i="14"/>
  <c r="O928" i="14"/>
  <c r="N928" i="14"/>
  <c r="L928" i="14"/>
  <c r="K928" i="14"/>
  <c r="J928" i="14"/>
  <c r="B928" i="14"/>
  <c r="R927" i="14"/>
  <c r="Q927" i="14"/>
  <c r="P927" i="14"/>
  <c r="O927" i="14"/>
  <c r="N927" i="14"/>
  <c r="L927" i="14"/>
  <c r="K927" i="14"/>
  <c r="J927" i="14"/>
  <c r="B927" i="14"/>
  <c r="R926" i="14"/>
  <c r="Q926" i="14"/>
  <c r="P926" i="14"/>
  <c r="O926" i="14"/>
  <c r="N926" i="14"/>
  <c r="L926" i="14"/>
  <c r="K926" i="14"/>
  <c r="J926" i="14"/>
  <c r="B926" i="14"/>
  <c r="R925" i="14"/>
  <c r="Q925" i="14"/>
  <c r="P925" i="14"/>
  <c r="O925" i="14"/>
  <c r="N925" i="14"/>
  <c r="L925" i="14"/>
  <c r="K925" i="14"/>
  <c r="J925" i="14"/>
  <c r="B925" i="14"/>
  <c r="R924" i="14"/>
  <c r="Q924" i="14"/>
  <c r="P924" i="14"/>
  <c r="O924" i="14"/>
  <c r="N924" i="14"/>
  <c r="L924" i="14"/>
  <c r="K924" i="14"/>
  <c r="J924" i="14"/>
  <c r="B924" i="14"/>
  <c r="R923" i="14"/>
  <c r="Q923" i="14"/>
  <c r="P923" i="14"/>
  <c r="O923" i="14"/>
  <c r="N923" i="14"/>
  <c r="L923" i="14"/>
  <c r="K923" i="14"/>
  <c r="J923" i="14"/>
  <c r="B923" i="14"/>
  <c r="R922" i="14"/>
  <c r="Q922" i="14"/>
  <c r="P922" i="14"/>
  <c r="O922" i="14"/>
  <c r="N922" i="14"/>
  <c r="L922" i="14"/>
  <c r="K922" i="14"/>
  <c r="J922" i="14"/>
  <c r="B922" i="14"/>
  <c r="R921" i="14"/>
  <c r="Q921" i="14"/>
  <c r="P921" i="14"/>
  <c r="O921" i="14"/>
  <c r="N921" i="14"/>
  <c r="L921" i="14"/>
  <c r="K921" i="14"/>
  <c r="J921" i="14"/>
  <c r="B921" i="14"/>
  <c r="R920" i="14"/>
  <c r="Q920" i="14"/>
  <c r="P920" i="14"/>
  <c r="O920" i="14"/>
  <c r="N920" i="14"/>
  <c r="L920" i="14"/>
  <c r="K920" i="14"/>
  <c r="J920" i="14"/>
  <c r="B920" i="14"/>
  <c r="R919" i="14"/>
  <c r="Q919" i="14"/>
  <c r="P919" i="14"/>
  <c r="O919" i="14"/>
  <c r="N919" i="14"/>
  <c r="L919" i="14"/>
  <c r="K919" i="14"/>
  <c r="J919" i="14"/>
  <c r="B919" i="14"/>
  <c r="R918" i="14"/>
  <c r="Q918" i="14"/>
  <c r="P918" i="14"/>
  <c r="O918" i="14"/>
  <c r="N918" i="14"/>
  <c r="L918" i="14"/>
  <c r="K918" i="14"/>
  <c r="J918" i="14"/>
  <c r="B918" i="14"/>
  <c r="R917" i="14"/>
  <c r="Q917" i="14"/>
  <c r="P917" i="14"/>
  <c r="O917" i="14"/>
  <c r="N917" i="14"/>
  <c r="L917" i="14"/>
  <c r="K917" i="14"/>
  <c r="J917" i="14"/>
  <c r="B917" i="14"/>
  <c r="R916" i="14"/>
  <c r="Q916" i="14"/>
  <c r="P916" i="14"/>
  <c r="O916" i="14"/>
  <c r="N916" i="14"/>
  <c r="L916" i="14"/>
  <c r="K916" i="14"/>
  <c r="J916" i="14"/>
  <c r="B916" i="14"/>
  <c r="R915" i="14"/>
  <c r="Q915" i="14"/>
  <c r="P915" i="14"/>
  <c r="O915" i="14"/>
  <c r="N915" i="14"/>
  <c r="L915" i="14"/>
  <c r="K915" i="14"/>
  <c r="J915" i="14"/>
  <c r="B915" i="14"/>
  <c r="R914" i="14"/>
  <c r="Q914" i="14"/>
  <c r="P914" i="14"/>
  <c r="O914" i="14"/>
  <c r="N914" i="14"/>
  <c r="L914" i="14"/>
  <c r="K914" i="14"/>
  <c r="J914" i="14"/>
  <c r="B914" i="14"/>
  <c r="R913" i="14"/>
  <c r="Q913" i="14"/>
  <c r="P913" i="14"/>
  <c r="O913" i="14"/>
  <c r="N913" i="14"/>
  <c r="L913" i="14"/>
  <c r="K913" i="14"/>
  <c r="J913" i="14"/>
  <c r="B913" i="14"/>
  <c r="R912" i="14"/>
  <c r="Q912" i="14"/>
  <c r="P912" i="14"/>
  <c r="O912" i="14"/>
  <c r="N912" i="14"/>
  <c r="L912" i="14"/>
  <c r="K912" i="14"/>
  <c r="J912" i="14"/>
  <c r="B912" i="14"/>
  <c r="R911" i="14"/>
  <c r="Q911" i="14"/>
  <c r="P911" i="14"/>
  <c r="O911" i="14"/>
  <c r="N911" i="14"/>
  <c r="L911" i="14"/>
  <c r="K911" i="14"/>
  <c r="J911" i="14"/>
  <c r="B911" i="14"/>
  <c r="R910" i="14"/>
  <c r="Q910" i="14"/>
  <c r="P910" i="14"/>
  <c r="O910" i="14"/>
  <c r="N910" i="14"/>
  <c r="L910" i="14"/>
  <c r="K910" i="14"/>
  <c r="J910" i="14"/>
  <c r="B910" i="14"/>
  <c r="R909" i="14"/>
  <c r="Q909" i="14"/>
  <c r="P909" i="14"/>
  <c r="O909" i="14"/>
  <c r="N909" i="14"/>
  <c r="L909" i="14"/>
  <c r="K909" i="14"/>
  <c r="J909" i="14"/>
  <c r="B909" i="14"/>
  <c r="R908" i="14"/>
  <c r="Q908" i="14"/>
  <c r="P908" i="14"/>
  <c r="O908" i="14"/>
  <c r="N908" i="14"/>
  <c r="L908" i="14"/>
  <c r="K908" i="14"/>
  <c r="J908" i="14"/>
  <c r="B908" i="14"/>
  <c r="R907" i="14"/>
  <c r="Q907" i="14"/>
  <c r="P907" i="14"/>
  <c r="O907" i="14"/>
  <c r="N907" i="14"/>
  <c r="L907" i="14"/>
  <c r="K907" i="14"/>
  <c r="J907" i="14"/>
  <c r="B907" i="14"/>
  <c r="R906" i="14"/>
  <c r="Q906" i="14"/>
  <c r="P906" i="14"/>
  <c r="O906" i="14"/>
  <c r="N906" i="14"/>
  <c r="L906" i="14"/>
  <c r="K906" i="14"/>
  <c r="J906" i="14"/>
  <c r="B906" i="14"/>
  <c r="R905" i="14"/>
  <c r="Q905" i="14"/>
  <c r="P905" i="14"/>
  <c r="O905" i="14"/>
  <c r="N905" i="14"/>
  <c r="L905" i="14"/>
  <c r="K905" i="14"/>
  <c r="J905" i="14"/>
  <c r="B905" i="14"/>
  <c r="R904" i="14"/>
  <c r="Q904" i="14"/>
  <c r="P904" i="14"/>
  <c r="O904" i="14"/>
  <c r="N904" i="14"/>
  <c r="L904" i="14"/>
  <c r="K904" i="14"/>
  <c r="J904" i="14"/>
  <c r="B904" i="14"/>
  <c r="R903" i="14"/>
  <c r="Q903" i="14"/>
  <c r="P903" i="14"/>
  <c r="O903" i="14"/>
  <c r="N903" i="14"/>
  <c r="L903" i="14"/>
  <c r="K903" i="14"/>
  <c r="J903" i="14"/>
  <c r="B903" i="14"/>
  <c r="R902" i="14"/>
  <c r="Q902" i="14"/>
  <c r="P902" i="14"/>
  <c r="O902" i="14"/>
  <c r="N902" i="14"/>
  <c r="L902" i="14"/>
  <c r="K902" i="14"/>
  <c r="J902" i="14"/>
  <c r="B902" i="14"/>
  <c r="R901" i="14"/>
  <c r="Q901" i="14"/>
  <c r="P901" i="14"/>
  <c r="O901" i="14"/>
  <c r="N901" i="14"/>
  <c r="L901" i="14"/>
  <c r="K901" i="14"/>
  <c r="J901" i="14"/>
  <c r="B901" i="14"/>
  <c r="R900" i="14"/>
  <c r="Q900" i="14"/>
  <c r="P900" i="14"/>
  <c r="O900" i="14"/>
  <c r="N900" i="14"/>
  <c r="L900" i="14"/>
  <c r="K900" i="14"/>
  <c r="J900" i="14"/>
  <c r="B900" i="14"/>
  <c r="R899" i="14"/>
  <c r="Q899" i="14"/>
  <c r="P899" i="14"/>
  <c r="O899" i="14"/>
  <c r="N899" i="14"/>
  <c r="L899" i="14"/>
  <c r="K899" i="14"/>
  <c r="J899" i="14"/>
  <c r="B899" i="14"/>
  <c r="R898" i="14"/>
  <c r="Q898" i="14"/>
  <c r="P898" i="14"/>
  <c r="O898" i="14"/>
  <c r="N898" i="14"/>
  <c r="L898" i="14"/>
  <c r="K898" i="14"/>
  <c r="J898" i="14"/>
  <c r="B898" i="14"/>
  <c r="R897" i="14"/>
  <c r="Q897" i="14"/>
  <c r="P897" i="14"/>
  <c r="O897" i="14"/>
  <c r="N897" i="14"/>
  <c r="L897" i="14"/>
  <c r="K897" i="14"/>
  <c r="J897" i="14"/>
  <c r="B897" i="14"/>
  <c r="R896" i="14"/>
  <c r="Q896" i="14"/>
  <c r="P896" i="14"/>
  <c r="O896" i="14"/>
  <c r="N896" i="14"/>
  <c r="L896" i="14"/>
  <c r="K896" i="14"/>
  <c r="J896" i="14"/>
  <c r="B896" i="14"/>
  <c r="R895" i="14"/>
  <c r="Q895" i="14"/>
  <c r="P895" i="14"/>
  <c r="O895" i="14"/>
  <c r="N895" i="14"/>
  <c r="L895" i="14"/>
  <c r="K895" i="14"/>
  <c r="J895" i="14"/>
  <c r="B895" i="14"/>
  <c r="R894" i="14"/>
  <c r="Q894" i="14"/>
  <c r="P894" i="14"/>
  <c r="O894" i="14"/>
  <c r="N894" i="14"/>
  <c r="L894" i="14"/>
  <c r="K894" i="14"/>
  <c r="J894" i="14"/>
  <c r="B894" i="14"/>
  <c r="R893" i="14"/>
  <c r="Q893" i="14"/>
  <c r="P893" i="14"/>
  <c r="O893" i="14"/>
  <c r="N893" i="14"/>
  <c r="L893" i="14"/>
  <c r="K893" i="14"/>
  <c r="J893" i="14"/>
  <c r="B893" i="14"/>
  <c r="R892" i="14"/>
  <c r="Q892" i="14"/>
  <c r="P892" i="14"/>
  <c r="O892" i="14"/>
  <c r="N892" i="14"/>
  <c r="L892" i="14"/>
  <c r="K892" i="14"/>
  <c r="J892" i="14"/>
  <c r="B892" i="14"/>
  <c r="R891" i="14"/>
  <c r="Q891" i="14"/>
  <c r="P891" i="14"/>
  <c r="O891" i="14"/>
  <c r="N891" i="14"/>
  <c r="L891" i="14"/>
  <c r="K891" i="14"/>
  <c r="J891" i="14"/>
  <c r="B891" i="14"/>
  <c r="R890" i="14"/>
  <c r="Q890" i="14"/>
  <c r="P890" i="14"/>
  <c r="O890" i="14"/>
  <c r="N890" i="14"/>
  <c r="L890" i="14"/>
  <c r="K890" i="14"/>
  <c r="J890" i="14"/>
  <c r="B890" i="14"/>
  <c r="R889" i="14"/>
  <c r="Q889" i="14"/>
  <c r="P889" i="14"/>
  <c r="O889" i="14"/>
  <c r="N889" i="14"/>
  <c r="L889" i="14"/>
  <c r="K889" i="14"/>
  <c r="J889" i="14"/>
  <c r="B889" i="14"/>
  <c r="R888" i="14"/>
  <c r="Q888" i="14"/>
  <c r="P888" i="14"/>
  <c r="O888" i="14"/>
  <c r="N888" i="14"/>
  <c r="L888" i="14"/>
  <c r="K888" i="14"/>
  <c r="J888" i="14"/>
  <c r="B888" i="14"/>
  <c r="R887" i="14"/>
  <c r="Q887" i="14"/>
  <c r="P887" i="14"/>
  <c r="O887" i="14"/>
  <c r="N887" i="14"/>
  <c r="L887" i="14"/>
  <c r="K887" i="14"/>
  <c r="J887" i="14"/>
  <c r="B887" i="14"/>
  <c r="R886" i="14"/>
  <c r="Q886" i="14"/>
  <c r="P886" i="14"/>
  <c r="O886" i="14"/>
  <c r="N886" i="14"/>
  <c r="L886" i="14"/>
  <c r="K886" i="14"/>
  <c r="J886" i="14"/>
  <c r="B886" i="14"/>
  <c r="R885" i="14"/>
  <c r="Q885" i="14"/>
  <c r="P885" i="14"/>
  <c r="O885" i="14"/>
  <c r="N885" i="14"/>
  <c r="L885" i="14"/>
  <c r="K885" i="14"/>
  <c r="J885" i="14"/>
  <c r="B885" i="14"/>
  <c r="R884" i="14"/>
  <c r="Q884" i="14"/>
  <c r="P884" i="14"/>
  <c r="O884" i="14"/>
  <c r="N884" i="14"/>
  <c r="L884" i="14"/>
  <c r="K884" i="14"/>
  <c r="J884" i="14"/>
  <c r="B884" i="14"/>
  <c r="R883" i="14"/>
  <c r="Q883" i="14"/>
  <c r="P883" i="14"/>
  <c r="O883" i="14"/>
  <c r="N883" i="14"/>
  <c r="L883" i="14"/>
  <c r="K883" i="14"/>
  <c r="J883" i="14"/>
  <c r="B883" i="14"/>
  <c r="R882" i="14"/>
  <c r="Q882" i="14"/>
  <c r="P882" i="14"/>
  <c r="O882" i="14"/>
  <c r="N882" i="14"/>
  <c r="L882" i="14"/>
  <c r="K882" i="14"/>
  <c r="J882" i="14"/>
  <c r="B882" i="14"/>
  <c r="R881" i="14"/>
  <c r="Q881" i="14"/>
  <c r="P881" i="14"/>
  <c r="O881" i="14"/>
  <c r="N881" i="14"/>
  <c r="L881" i="14"/>
  <c r="K881" i="14"/>
  <c r="J881" i="14"/>
  <c r="B881" i="14"/>
  <c r="R880" i="14"/>
  <c r="Q880" i="14"/>
  <c r="P880" i="14"/>
  <c r="O880" i="14"/>
  <c r="N880" i="14"/>
  <c r="L880" i="14"/>
  <c r="K880" i="14"/>
  <c r="J880" i="14"/>
  <c r="B880" i="14"/>
  <c r="R879" i="14"/>
  <c r="Q879" i="14"/>
  <c r="P879" i="14"/>
  <c r="O879" i="14"/>
  <c r="N879" i="14"/>
  <c r="L879" i="14"/>
  <c r="K879" i="14"/>
  <c r="J879" i="14"/>
  <c r="B879" i="14"/>
  <c r="R878" i="14"/>
  <c r="Q878" i="14"/>
  <c r="P878" i="14"/>
  <c r="O878" i="14"/>
  <c r="N878" i="14"/>
  <c r="L878" i="14"/>
  <c r="K878" i="14"/>
  <c r="J878" i="14"/>
  <c r="B878" i="14"/>
  <c r="R877" i="14"/>
  <c r="Q877" i="14"/>
  <c r="P877" i="14"/>
  <c r="O877" i="14"/>
  <c r="N877" i="14"/>
  <c r="L877" i="14"/>
  <c r="K877" i="14"/>
  <c r="J877" i="14"/>
  <c r="B877" i="14"/>
  <c r="R876" i="14"/>
  <c r="Q876" i="14"/>
  <c r="P876" i="14"/>
  <c r="O876" i="14"/>
  <c r="N876" i="14"/>
  <c r="L876" i="14"/>
  <c r="K876" i="14"/>
  <c r="J876" i="14"/>
  <c r="B876" i="14"/>
  <c r="R875" i="14"/>
  <c r="Q875" i="14"/>
  <c r="P875" i="14"/>
  <c r="O875" i="14"/>
  <c r="N875" i="14"/>
  <c r="L875" i="14"/>
  <c r="K875" i="14"/>
  <c r="J875" i="14"/>
  <c r="B875" i="14"/>
  <c r="R874" i="14"/>
  <c r="Q874" i="14"/>
  <c r="P874" i="14"/>
  <c r="O874" i="14"/>
  <c r="N874" i="14"/>
  <c r="L874" i="14"/>
  <c r="K874" i="14"/>
  <c r="J874" i="14"/>
  <c r="B874" i="14"/>
  <c r="R873" i="14"/>
  <c r="Q873" i="14"/>
  <c r="P873" i="14"/>
  <c r="O873" i="14"/>
  <c r="N873" i="14"/>
  <c r="L873" i="14"/>
  <c r="K873" i="14"/>
  <c r="J873" i="14"/>
  <c r="B873" i="14"/>
  <c r="R872" i="14"/>
  <c r="Q872" i="14"/>
  <c r="P872" i="14"/>
  <c r="O872" i="14"/>
  <c r="N872" i="14"/>
  <c r="L872" i="14"/>
  <c r="K872" i="14"/>
  <c r="J872" i="14"/>
  <c r="B872" i="14"/>
  <c r="R871" i="14"/>
  <c r="Q871" i="14"/>
  <c r="P871" i="14"/>
  <c r="O871" i="14"/>
  <c r="N871" i="14"/>
  <c r="L871" i="14"/>
  <c r="K871" i="14"/>
  <c r="J871" i="14"/>
  <c r="B871" i="14"/>
  <c r="R870" i="14"/>
  <c r="Q870" i="14"/>
  <c r="P870" i="14"/>
  <c r="O870" i="14"/>
  <c r="N870" i="14"/>
  <c r="L870" i="14"/>
  <c r="K870" i="14"/>
  <c r="J870" i="14"/>
  <c r="B870" i="14"/>
  <c r="R869" i="14"/>
  <c r="Q869" i="14"/>
  <c r="P869" i="14"/>
  <c r="O869" i="14"/>
  <c r="N869" i="14"/>
  <c r="L869" i="14"/>
  <c r="K869" i="14"/>
  <c r="J869" i="14"/>
  <c r="B869" i="14"/>
  <c r="R868" i="14"/>
  <c r="Q868" i="14"/>
  <c r="P868" i="14"/>
  <c r="O868" i="14"/>
  <c r="N868" i="14"/>
  <c r="L868" i="14"/>
  <c r="K868" i="14"/>
  <c r="J868" i="14"/>
  <c r="B868" i="14"/>
  <c r="R867" i="14"/>
  <c r="Q867" i="14"/>
  <c r="P867" i="14"/>
  <c r="O867" i="14"/>
  <c r="N867" i="14"/>
  <c r="L867" i="14"/>
  <c r="K867" i="14"/>
  <c r="J867" i="14"/>
  <c r="B867" i="14"/>
  <c r="R866" i="14"/>
  <c r="Q866" i="14"/>
  <c r="P866" i="14"/>
  <c r="O866" i="14"/>
  <c r="N866" i="14"/>
  <c r="L866" i="14"/>
  <c r="K866" i="14"/>
  <c r="J866" i="14"/>
  <c r="B866" i="14"/>
  <c r="R865" i="14"/>
  <c r="Q865" i="14"/>
  <c r="P865" i="14"/>
  <c r="O865" i="14"/>
  <c r="N865" i="14"/>
  <c r="L865" i="14"/>
  <c r="K865" i="14"/>
  <c r="J865" i="14"/>
  <c r="B865" i="14"/>
  <c r="R864" i="14"/>
  <c r="Q864" i="14"/>
  <c r="P864" i="14"/>
  <c r="O864" i="14"/>
  <c r="N864" i="14"/>
  <c r="L864" i="14"/>
  <c r="K864" i="14"/>
  <c r="J864" i="14"/>
  <c r="B864" i="14"/>
  <c r="R863" i="14"/>
  <c r="Q863" i="14"/>
  <c r="P863" i="14"/>
  <c r="O863" i="14"/>
  <c r="N863" i="14"/>
  <c r="L863" i="14"/>
  <c r="K863" i="14"/>
  <c r="J863" i="14"/>
  <c r="B863" i="14"/>
  <c r="R862" i="14"/>
  <c r="Q862" i="14"/>
  <c r="P862" i="14"/>
  <c r="O862" i="14"/>
  <c r="N862" i="14"/>
  <c r="L862" i="14"/>
  <c r="K862" i="14"/>
  <c r="J862" i="14"/>
  <c r="B862" i="14"/>
  <c r="R861" i="14"/>
  <c r="Q861" i="14"/>
  <c r="P861" i="14"/>
  <c r="O861" i="14"/>
  <c r="N861" i="14"/>
  <c r="L861" i="14"/>
  <c r="K861" i="14"/>
  <c r="J861" i="14"/>
  <c r="B861" i="14"/>
  <c r="R860" i="14"/>
  <c r="Q860" i="14"/>
  <c r="P860" i="14"/>
  <c r="O860" i="14"/>
  <c r="N860" i="14"/>
  <c r="L860" i="14"/>
  <c r="K860" i="14"/>
  <c r="J860" i="14"/>
  <c r="B860" i="14"/>
  <c r="R859" i="14"/>
  <c r="Q859" i="14"/>
  <c r="P859" i="14"/>
  <c r="O859" i="14"/>
  <c r="N859" i="14"/>
  <c r="L859" i="14"/>
  <c r="K859" i="14"/>
  <c r="J859" i="14"/>
  <c r="B859" i="14"/>
  <c r="R858" i="14"/>
  <c r="Q858" i="14"/>
  <c r="P858" i="14"/>
  <c r="O858" i="14"/>
  <c r="N858" i="14"/>
  <c r="L858" i="14"/>
  <c r="K858" i="14"/>
  <c r="J858" i="14"/>
  <c r="B858" i="14"/>
  <c r="R857" i="14"/>
  <c r="Q857" i="14"/>
  <c r="P857" i="14"/>
  <c r="O857" i="14"/>
  <c r="N857" i="14"/>
  <c r="L857" i="14"/>
  <c r="K857" i="14"/>
  <c r="J857" i="14"/>
  <c r="B857" i="14"/>
  <c r="R856" i="14"/>
  <c r="Q856" i="14"/>
  <c r="P856" i="14"/>
  <c r="O856" i="14"/>
  <c r="N856" i="14"/>
  <c r="L856" i="14"/>
  <c r="K856" i="14"/>
  <c r="J856" i="14"/>
  <c r="B856" i="14"/>
  <c r="R855" i="14"/>
  <c r="Q855" i="14"/>
  <c r="P855" i="14"/>
  <c r="O855" i="14"/>
  <c r="N855" i="14"/>
  <c r="L855" i="14"/>
  <c r="K855" i="14"/>
  <c r="J855" i="14"/>
  <c r="B855" i="14"/>
  <c r="R854" i="14"/>
  <c r="Q854" i="14"/>
  <c r="P854" i="14"/>
  <c r="O854" i="14"/>
  <c r="N854" i="14"/>
  <c r="L854" i="14"/>
  <c r="K854" i="14"/>
  <c r="J854" i="14"/>
  <c r="B854" i="14"/>
  <c r="R853" i="14"/>
  <c r="Q853" i="14"/>
  <c r="P853" i="14"/>
  <c r="O853" i="14"/>
  <c r="N853" i="14"/>
  <c r="L853" i="14"/>
  <c r="K853" i="14"/>
  <c r="J853" i="14"/>
  <c r="B853" i="14"/>
  <c r="R852" i="14"/>
  <c r="Q852" i="14"/>
  <c r="P852" i="14"/>
  <c r="O852" i="14"/>
  <c r="N852" i="14"/>
  <c r="L852" i="14"/>
  <c r="K852" i="14"/>
  <c r="J852" i="14"/>
  <c r="B852" i="14"/>
  <c r="R851" i="14"/>
  <c r="Q851" i="14"/>
  <c r="P851" i="14"/>
  <c r="O851" i="14"/>
  <c r="N851" i="14"/>
  <c r="L851" i="14"/>
  <c r="K851" i="14"/>
  <c r="J851" i="14"/>
  <c r="B851" i="14"/>
  <c r="R850" i="14"/>
  <c r="Q850" i="14"/>
  <c r="P850" i="14"/>
  <c r="O850" i="14"/>
  <c r="N850" i="14"/>
  <c r="L850" i="14"/>
  <c r="K850" i="14"/>
  <c r="J850" i="14"/>
  <c r="B850" i="14"/>
  <c r="R849" i="14"/>
  <c r="Q849" i="14"/>
  <c r="P849" i="14"/>
  <c r="O849" i="14"/>
  <c r="N849" i="14"/>
  <c r="L849" i="14"/>
  <c r="K849" i="14"/>
  <c r="J849" i="14"/>
  <c r="B849" i="14"/>
  <c r="R848" i="14"/>
  <c r="Q848" i="14"/>
  <c r="P848" i="14"/>
  <c r="O848" i="14"/>
  <c r="N848" i="14"/>
  <c r="L848" i="14"/>
  <c r="K848" i="14"/>
  <c r="J848" i="14"/>
  <c r="B848" i="14"/>
  <c r="R847" i="14"/>
  <c r="Q847" i="14"/>
  <c r="P847" i="14"/>
  <c r="O847" i="14"/>
  <c r="N847" i="14"/>
  <c r="L847" i="14"/>
  <c r="K847" i="14"/>
  <c r="J847" i="14"/>
  <c r="B847" i="14"/>
  <c r="R846" i="14"/>
  <c r="Q846" i="14"/>
  <c r="P846" i="14"/>
  <c r="O846" i="14"/>
  <c r="N846" i="14"/>
  <c r="L846" i="14"/>
  <c r="K846" i="14"/>
  <c r="J846" i="14"/>
  <c r="B846" i="14"/>
  <c r="R845" i="14"/>
  <c r="Q845" i="14"/>
  <c r="P845" i="14"/>
  <c r="O845" i="14"/>
  <c r="N845" i="14"/>
  <c r="L845" i="14"/>
  <c r="K845" i="14"/>
  <c r="J845" i="14"/>
  <c r="B845" i="14"/>
  <c r="R844" i="14"/>
  <c r="Q844" i="14"/>
  <c r="P844" i="14"/>
  <c r="O844" i="14"/>
  <c r="N844" i="14"/>
  <c r="L844" i="14"/>
  <c r="K844" i="14"/>
  <c r="J844" i="14"/>
  <c r="B844" i="14"/>
  <c r="R843" i="14"/>
  <c r="Q843" i="14"/>
  <c r="P843" i="14"/>
  <c r="O843" i="14"/>
  <c r="N843" i="14"/>
  <c r="L843" i="14"/>
  <c r="K843" i="14"/>
  <c r="J843" i="14"/>
  <c r="B843" i="14"/>
  <c r="R842" i="14"/>
  <c r="Q842" i="14"/>
  <c r="P842" i="14"/>
  <c r="O842" i="14"/>
  <c r="N842" i="14"/>
  <c r="L842" i="14"/>
  <c r="K842" i="14"/>
  <c r="J842" i="14"/>
  <c r="B842" i="14"/>
  <c r="R841" i="14"/>
  <c r="Q841" i="14"/>
  <c r="P841" i="14"/>
  <c r="O841" i="14"/>
  <c r="N841" i="14"/>
  <c r="L841" i="14"/>
  <c r="K841" i="14"/>
  <c r="J841" i="14"/>
  <c r="B841" i="14"/>
  <c r="R840" i="14"/>
  <c r="Q840" i="14"/>
  <c r="P840" i="14"/>
  <c r="O840" i="14"/>
  <c r="N840" i="14"/>
  <c r="L840" i="14"/>
  <c r="K840" i="14"/>
  <c r="J840" i="14"/>
  <c r="B840" i="14"/>
  <c r="R839" i="14"/>
  <c r="Q839" i="14"/>
  <c r="P839" i="14"/>
  <c r="O839" i="14"/>
  <c r="N839" i="14"/>
  <c r="L839" i="14"/>
  <c r="K839" i="14"/>
  <c r="J839" i="14"/>
  <c r="B839" i="14"/>
  <c r="R838" i="14"/>
  <c r="Q838" i="14"/>
  <c r="P838" i="14"/>
  <c r="O838" i="14"/>
  <c r="N838" i="14"/>
  <c r="L838" i="14"/>
  <c r="K838" i="14"/>
  <c r="J838" i="14"/>
  <c r="B838" i="14"/>
  <c r="R837" i="14"/>
  <c r="Q837" i="14"/>
  <c r="P837" i="14"/>
  <c r="O837" i="14"/>
  <c r="N837" i="14"/>
  <c r="L837" i="14"/>
  <c r="K837" i="14"/>
  <c r="J837" i="14"/>
  <c r="B837" i="14"/>
  <c r="R836" i="14"/>
  <c r="Q836" i="14"/>
  <c r="P836" i="14"/>
  <c r="O836" i="14"/>
  <c r="N836" i="14"/>
  <c r="L836" i="14"/>
  <c r="K836" i="14"/>
  <c r="J836" i="14"/>
  <c r="B836" i="14"/>
  <c r="R835" i="14"/>
  <c r="Q835" i="14"/>
  <c r="P835" i="14"/>
  <c r="O835" i="14"/>
  <c r="N835" i="14"/>
  <c r="L835" i="14"/>
  <c r="K835" i="14"/>
  <c r="J835" i="14"/>
  <c r="B835" i="14"/>
  <c r="R834" i="14"/>
  <c r="Q834" i="14"/>
  <c r="P834" i="14"/>
  <c r="O834" i="14"/>
  <c r="N834" i="14"/>
  <c r="L834" i="14"/>
  <c r="K834" i="14"/>
  <c r="J834" i="14"/>
  <c r="B834" i="14"/>
  <c r="R833" i="14"/>
  <c r="Q833" i="14"/>
  <c r="P833" i="14"/>
  <c r="O833" i="14"/>
  <c r="N833" i="14"/>
  <c r="L833" i="14"/>
  <c r="K833" i="14"/>
  <c r="J833" i="14"/>
  <c r="B833" i="14"/>
  <c r="R832" i="14"/>
  <c r="Q832" i="14"/>
  <c r="P832" i="14"/>
  <c r="O832" i="14"/>
  <c r="N832" i="14"/>
  <c r="L832" i="14"/>
  <c r="K832" i="14"/>
  <c r="J832" i="14"/>
  <c r="B832" i="14"/>
  <c r="R831" i="14"/>
  <c r="Q831" i="14"/>
  <c r="P831" i="14"/>
  <c r="O831" i="14"/>
  <c r="N831" i="14"/>
  <c r="L831" i="14"/>
  <c r="K831" i="14"/>
  <c r="J831" i="14"/>
  <c r="B831" i="14"/>
  <c r="R830" i="14"/>
  <c r="Q830" i="14"/>
  <c r="P830" i="14"/>
  <c r="O830" i="14"/>
  <c r="N830" i="14"/>
  <c r="L830" i="14"/>
  <c r="K830" i="14"/>
  <c r="J830" i="14"/>
  <c r="B830" i="14"/>
  <c r="R829" i="14"/>
  <c r="Q829" i="14"/>
  <c r="P829" i="14"/>
  <c r="O829" i="14"/>
  <c r="N829" i="14"/>
  <c r="L829" i="14"/>
  <c r="K829" i="14"/>
  <c r="J829" i="14"/>
  <c r="B829" i="14"/>
  <c r="R828" i="14"/>
  <c r="Q828" i="14"/>
  <c r="P828" i="14"/>
  <c r="O828" i="14"/>
  <c r="N828" i="14"/>
  <c r="L828" i="14"/>
  <c r="K828" i="14"/>
  <c r="J828" i="14"/>
  <c r="B828" i="14"/>
  <c r="R827" i="14"/>
  <c r="Q827" i="14"/>
  <c r="P827" i="14"/>
  <c r="O827" i="14"/>
  <c r="N827" i="14"/>
  <c r="L827" i="14"/>
  <c r="K827" i="14"/>
  <c r="J827" i="14"/>
  <c r="B827" i="14"/>
  <c r="R826" i="14"/>
  <c r="Q826" i="14"/>
  <c r="P826" i="14"/>
  <c r="O826" i="14"/>
  <c r="N826" i="14"/>
  <c r="L826" i="14"/>
  <c r="K826" i="14"/>
  <c r="J826" i="14"/>
  <c r="B826" i="14"/>
  <c r="R825" i="14"/>
  <c r="Q825" i="14"/>
  <c r="P825" i="14"/>
  <c r="O825" i="14"/>
  <c r="N825" i="14"/>
  <c r="L825" i="14"/>
  <c r="K825" i="14"/>
  <c r="J825" i="14"/>
  <c r="B825" i="14"/>
  <c r="R824" i="14"/>
  <c r="Q824" i="14"/>
  <c r="P824" i="14"/>
  <c r="O824" i="14"/>
  <c r="N824" i="14"/>
  <c r="L824" i="14"/>
  <c r="K824" i="14"/>
  <c r="J824" i="14"/>
  <c r="B824" i="14"/>
  <c r="R823" i="14"/>
  <c r="Q823" i="14"/>
  <c r="P823" i="14"/>
  <c r="O823" i="14"/>
  <c r="N823" i="14"/>
  <c r="L823" i="14"/>
  <c r="K823" i="14"/>
  <c r="J823" i="14"/>
  <c r="B823" i="14"/>
  <c r="R822" i="14"/>
  <c r="Q822" i="14"/>
  <c r="P822" i="14"/>
  <c r="O822" i="14"/>
  <c r="N822" i="14"/>
  <c r="L822" i="14"/>
  <c r="K822" i="14"/>
  <c r="J822" i="14"/>
  <c r="B822" i="14"/>
  <c r="R821" i="14"/>
  <c r="Q821" i="14"/>
  <c r="P821" i="14"/>
  <c r="O821" i="14"/>
  <c r="N821" i="14"/>
  <c r="L821" i="14"/>
  <c r="K821" i="14"/>
  <c r="J821" i="14"/>
  <c r="B821" i="14"/>
  <c r="R820" i="14"/>
  <c r="Q820" i="14"/>
  <c r="P820" i="14"/>
  <c r="O820" i="14"/>
  <c r="N820" i="14"/>
  <c r="L820" i="14"/>
  <c r="K820" i="14"/>
  <c r="J820" i="14"/>
  <c r="B820" i="14"/>
  <c r="R819" i="14"/>
  <c r="Q819" i="14"/>
  <c r="P819" i="14"/>
  <c r="O819" i="14"/>
  <c r="N819" i="14"/>
  <c r="L819" i="14"/>
  <c r="K819" i="14"/>
  <c r="J819" i="14"/>
  <c r="B819" i="14"/>
  <c r="R818" i="14"/>
  <c r="Q818" i="14"/>
  <c r="P818" i="14"/>
  <c r="O818" i="14"/>
  <c r="N818" i="14"/>
  <c r="L818" i="14"/>
  <c r="K818" i="14"/>
  <c r="J818" i="14"/>
  <c r="B818" i="14"/>
  <c r="R817" i="14"/>
  <c r="Q817" i="14"/>
  <c r="P817" i="14"/>
  <c r="O817" i="14"/>
  <c r="N817" i="14"/>
  <c r="L817" i="14"/>
  <c r="K817" i="14"/>
  <c r="J817" i="14"/>
  <c r="B817" i="14"/>
  <c r="R816" i="14"/>
  <c r="Q816" i="14"/>
  <c r="P816" i="14"/>
  <c r="O816" i="14"/>
  <c r="N816" i="14"/>
  <c r="L816" i="14"/>
  <c r="K816" i="14"/>
  <c r="J816" i="14"/>
  <c r="B816" i="14"/>
  <c r="R815" i="14"/>
  <c r="Q815" i="14"/>
  <c r="P815" i="14"/>
  <c r="O815" i="14"/>
  <c r="N815" i="14"/>
  <c r="L815" i="14"/>
  <c r="K815" i="14"/>
  <c r="J815" i="14"/>
  <c r="B815" i="14"/>
  <c r="R814" i="14"/>
  <c r="Q814" i="14"/>
  <c r="P814" i="14"/>
  <c r="O814" i="14"/>
  <c r="N814" i="14"/>
  <c r="L814" i="14"/>
  <c r="K814" i="14"/>
  <c r="J814" i="14"/>
  <c r="B814" i="14"/>
  <c r="R813" i="14"/>
  <c r="Q813" i="14"/>
  <c r="P813" i="14"/>
  <c r="O813" i="14"/>
  <c r="N813" i="14"/>
  <c r="L813" i="14"/>
  <c r="K813" i="14"/>
  <c r="J813" i="14"/>
  <c r="B813" i="14"/>
  <c r="R812" i="14"/>
  <c r="Q812" i="14"/>
  <c r="P812" i="14"/>
  <c r="O812" i="14"/>
  <c r="N812" i="14"/>
  <c r="L812" i="14"/>
  <c r="K812" i="14"/>
  <c r="J812" i="14"/>
  <c r="B812" i="14"/>
  <c r="R811" i="14"/>
  <c r="Q811" i="14"/>
  <c r="P811" i="14"/>
  <c r="O811" i="14"/>
  <c r="N811" i="14"/>
  <c r="L811" i="14"/>
  <c r="K811" i="14"/>
  <c r="J811" i="14"/>
  <c r="B811" i="14"/>
  <c r="R810" i="14"/>
  <c r="Q810" i="14"/>
  <c r="P810" i="14"/>
  <c r="O810" i="14"/>
  <c r="N810" i="14"/>
  <c r="L810" i="14"/>
  <c r="K810" i="14"/>
  <c r="J810" i="14"/>
  <c r="B810" i="14"/>
  <c r="R809" i="14"/>
  <c r="Q809" i="14"/>
  <c r="P809" i="14"/>
  <c r="O809" i="14"/>
  <c r="N809" i="14"/>
  <c r="L809" i="14"/>
  <c r="K809" i="14"/>
  <c r="J809" i="14"/>
  <c r="B809" i="14"/>
  <c r="R808" i="14"/>
  <c r="Q808" i="14"/>
  <c r="P808" i="14"/>
  <c r="O808" i="14"/>
  <c r="N808" i="14"/>
  <c r="L808" i="14"/>
  <c r="K808" i="14"/>
  <c r="J808" i="14"/>
  <c r="B808" i="14"/>
  <c r="R807" i="14"/>
  <c r="Q807" i="14"/>
  <c r="P807" i="14"/>
  <c r="O807" i="14"/>
  <c r="N807" i="14"/>
  <c r="L807" i="14"/>
  <c r="K807" i="14"/>
  <c r="J807" i="14"/>
  <c r="B807" i="14"/>
  <c r="R806" i="14"/>
  <c r="Q806" i="14"/>
  <c r="P806" i="14"/>
  <c r="O806" i="14"/>
  <c r="N806" i="14"/>
  <c r="L806" i="14"/>
  <c r="K806" i="14"/>
  <c r="J806" i="14"/>
  <c r="B806" i="14"/>
  <c r="R805" i="14"/>
  <c r="Q805" i="14"/>
  <c r="P805" i="14"/>
  <c r="O805" i="14"/>
  <c r="N805" i="14"/>
  <c r="L805" i="14"/>
  <c r="K805" i="14"/>
  <c r="J805" i="14"/>
  <c r="B805" i="14"/>
  <c r="R804" i="14"/>
  <c r="Q804" i="14"/>
  <c r="P804" i="14"/>
  <c r="O804" i="14"/>
  <c r="N804" i="14"/>
  <c r="L804" i="14"/>
  <c r="K804" i="14"/>
  <c r="J804" i="14"/>
  <c r="B804" i="14"/>
  <c r="R803" i="14"/>
  <c r="Q803" i="14"/>
  <c r="P803" i="14"/>
  <c r="O803" i="14"/>
  <c r="N803" i="14"/>
  <c r="L803" i="14"/>
  <c r="K803" i="14"/>
  <c r="J803" i="14"/>
  <c r="B803" i="14"/>
  <c r="R802" i="14"/>
  <c r="Q802" i="14"/>
  <c r="P802" i="14"/>
  <c r="O802" i="14"/>
  <c r="N802" i="14"/>
  <c r="L802" i="14"/>
  <c r="K802" i="14"/>
  <c r="J802" i="14"/>
  <c r="B802" i="14"/>
  <c r="R801" i="14"/>
  <c r="Q801" i="14"/>
  <c r="P801" i="14"/>
  <c r="O801" i="14"/>
  <c r="N801" i="14"/>
  <c r="L801" i="14"/>
  <c r="K801" i="14"/>
  <c r="J801" i="14"/>
  <c r="B801" i="14"/>
  <c r="R800" i="14"/>
  <c r="Q800" i="14"/>
  <c r="P800" i="14"/>
  <c r="O800" i="14"/>
  <c r="N800" i="14"/>
  <c r="L800" i="14"/>
  <c r="K800" i="14"/>
  <c r="J800" i="14"/>
  <c r="B800" i="14"/>
  <c r="R799" i="14"/>
  <c r="Q799" i="14"/>
  <c r="P799" i="14"/>
  <c r="O799" i="14"/>
  <c r="N799" i="14"/>
  <c r="L799" i="14"/>
  <c r="K799" i="14"/>
  <c r="J799" i="14"/>
  <c r="B799" i="14"/>
  <c r="R798" i="14"/>
  <c r="Q798" i="14"/>
  <c r="P798" i="14"/>
  <c r="O798" i="14"/>
  <c r="N798" i="14"/>
  <c r="L798" i="14"/>
  <c r="K798" i="14"/>
  <c r="J798" i="14"/>
  <c r="B798" i="14"/>
  <c r="R797" i="14"/>
  <c r="Q797" i="14"/>
  <c r="P797" i="14"/>
  <c r="O797" i="14"/>
  <c r="N797" i="14"/>
  <c r="L797" i="14"/>
  <c r="K797" i="14"/>
  <c r="J797" i="14"/>
  <c r="B797" i="14"/>
  <c r="R796" i="14"/>
  <c r="Q796" i="14"/>
  <c r="P796" i="14"/>
  <c r="O796" i="14"/>
  <c r="N796" i="14"/>
  <c r="L796" i="14"/>
  <c r="K796" i="14"/>
  <c r="J796" i="14"/>
  <c r="B796" i="14"/>
  <c r="R795" i="14"/>
  <c r="Q795" i="14"/>
  <c r="P795" i="14"/>
  <c r="O795" i="14"/>
  <c r="N795" i="14"/>
  <c r="L795" i="14"/>
  <c r="K795" i="14"/>
  <c r="J795" i="14"/>
  <c r="B795" i="14"/>
  <c r="R794" i="14"/>
  <c r="Q794" i="14"/>
  <c r="P794" i="14"/>
  <c r="O794" i="14"/>
  <c r="N794" i="14"/>
  <c r="L794" i="14"/>
  <c r="K794" i="14"/>
  <c r="J794" i="14"/>
  <c r="B794" i="14"/>
  <c r="R793" i="14"/>
  <c r="Q793" i="14"/>
  <c r="P793" i="14"/>
  <c r="O793" i="14"/>
  <c r="N793" i="14"/>
  <c r="L793" i="14"/>
  <c r="K793" i="14"/>
  <c r="J793" i="14"/>
  <c r="B793" i="14"/>
  <c r="R792" i="14"/>
  <c r="Q792" i="14"/>
  <c r="P792" i="14"/>
  <c r="O792" i="14"/>
  <c r="N792" i="14"/>
  <c r="L792" i="14"/>
  <c r="K792" i="14"/>
  <c r="J792" i="14"/>
  <c r="B792" i="14"/>
  <c r="R791" i="14"/>
  <c r="Q791" i="14"/>
  <c r="P791" i="14"/>
  <c r="O791" i="14"/>
  <c r="N791" i="14"/>
  <c r="L791" i="14"/>
  <c r="K791" i="14"/>
  <c r="J791" i="14"/>
  <c r="B791" i="14"/>
  <c r="R790" i="14"/>
  <c r="Q790" i="14"/>
  <c r="P790" i="14"/>
  <c r="O790" i="14"/>
  <c r="N790" i="14"/>
  <c r="L790" i="14"/>
  <c r="K790" i="14"/>
  <c r="J790" i="14"/>
  <c r="B790" i="14"/>
  <c r="R789" i="14"/>
  <c r="Q789" i="14"/>
  <c r="P789" i="14"/>
  <c r="O789" i="14"/>
  <c r="N789" i="14"/>
  <c r="L789" i="14"/>
  <c r="K789" i="14"/>
  <c r="J789" i="14"/>
  <c r="B789" i="14"/>
  <c r="R788" i="14"/>
  <c r="Q788" i="14"/>
  <c r="P788" i="14"/>
  <c r="O788" i="14"/>
  <c r="N788" i="14"/>
  <c r="L788" i="14"/>
  <c r="K788" i="14"/>
  <c r="J788" i="14"/>
  <c r="B788" i="14"/>
  <c r="R787" i="14"/>
  <c r="Q787" i="14"/>
  <c r="P787" i="14"/>
  <c r="O787" i="14"/>
  <c r="N787" i="14"/>
  <c r="L787" i="14"/>
  <c r="K787" i="14"/>
  <c r="J787" i="14"/>
  <c r="B787" i="14"/>
  <c r="R786" i="14"/>
  <c r="Q786" i="14"/>
  <c r="P786" i="14"/>
  <c r="O786" i="14"/>
  <c r="N786" i="14"/>
  <c r="L786" i="14"/>
  <c r="K786" i="14"/>
  <c r="J786" i="14"/>
  <c r="B786" i="14"/>
  <c r="R785" i="14"/>
  <c r="Q785" i="14"/>
  <c r="P785" i="14"/>
  <c r="O785" i="14"/>
  <c r="N785" i="14"/>
  <c r="L785" i="14"/>
  <c r="K785" i="14"/>
  <c r="J785" i="14"/>
  <c r="B785" i="14"/>
  <c r="R784" i="14"/>
  <c r="Q784" i="14"/>
  <c r="P784" i="14"/>
  <c r="O784" i="14"/>
  <c r="N784" i="14"/>
  <c r="L784" i="14"/>
  <c r="K784" i="14"/>
  <c r="J784" i="14"/>
  <c r="B784" i="14"/>
  <c r="R783" i="14"/>
  <c r="Q783" i="14"/>
  <c r="P783" i="14"/>
  <c r="O783" i="14"/>
  <c r="N783" i="14"/>
  <c r="L783" i="14"/>
  <c r="K783" i="14"/>
  <c r="J783" i="14"/>
  <c r="B783" i="14"/>
  <c r="R782" i="14"/>
  <c r="Q782" i="14"/>
  <c r="P782" i="14"/>
  <c r="O782" i="14"/>
  <c r="N782" i="14"/>
  <c r="L782" i="14"/>
  <c r="K782" i="14"/>
  <c r="J782" i="14"/>
  <c r="B782" i="14"/>
  <c r="R781" i="14"/>
  <c r="Q781" i="14"/>
  <c r="P781" i="14"/>
  <c r="O781" i="14"/>
  <c r="N781" i="14"/>
  <c r="L781" i="14"/>
  <c r="K781" i="14"/>
  <c r="J781" i="14"/>
  <c r="B781" i="14"/>
  <c r="R780" i="14"/>
  <c r="Q780" i="14"/>
  <c r="P780" i="14"/>
  <c r="O780" i="14"/>
  <c r="N780" i="14"/>
  <c r="L780" i="14"/>
  <c r="K780" i="14"/>
  <c r="J780" i="14"/>
  <c r="B780" i="14"/>
  <c r="R779" i="14"/>
  <c r="Q779" i="14"/>
  <c r="P779" i="14"/>
  <c r="O779" i="14"/>
  <c r="N779" i="14"/>
  <c r="L779" i="14"/>
  <c r="K779" i="14"/>
  <c r="J779" i="14"/>
  <c r="B779" i="14"/>
  <c r="R778" i="14"/>
  <c r="Q778" i="14"/>
  <c r="P778" i="14"/>
  <c r="O778" i="14"/>
  <c r="N778" i="14"/>
  <c r="L778" i="14"/>
  <c r="K778" i="14"/>
  <c r="J778" i="14"/>
  <c r="B778" i="14"/>
  <c r="R777" i="14"/>
  <c r="Q777" i="14"/>
  <c r="P777" i="14"/>
  <c r="O777" i="14"/>
  <c r="N777" i="14"/>
  <c r="L777" i="14"/>
  <c r="K777" i="14"/>
  <c r="J777" i="14"/>
  <c r="B777" i="14"/>
  <c r="R776" i="14"/>
  <c r="Q776" i="14"/>
  <c r="P776" i="14"/>
  <c r="O776" i="14"/>
  <c r="N776" i="14"/>
  <c r="L776" i="14"/>
  <c r="K776" i="14"/>
  <c r="J776" i="14"/>
  <c r="B776" i="14"/>
  <c r="R775" i="14"/>
  <c r="Q775" i="14"/>
  <c r="P775" i="14"/>
  <c r="O775" i="14"/>
  <c r="N775" i="14"/>
  <c r="L775" i="14"/>
  <c r="K775" i="14"/>
  <c r="J775" i="14"/>
  <c r="B775" i="14"/>
  <c r="R774" i="14"/>
  <c r="Q774" i="14"/>
  <c r="P774" i="14"/>
  <c r="O774" i="14"/>
  <c r="N774" i="14"/>
  <c r="L774" i="14"/>
  <c r="K774" i="14"/>
  <c r="J774" i="14"/>
  <c r="B774" i="14"/>
  <c r="R773" i="14"/>
  <c r="Q773" i="14"/>
  <c r="P773" i="14"/>
  <c r="O773" i="14"/>
  <c r="N773" i="14"/>
  <c r="L773" i="14"/>
  <c r="K773" i="14"/>
  <c r="J773" i="14"/>
  <c r="B773" i="14"/>
  <c r="R772" i="14"/>
  <c r="Q772" i="14"/>
  <c r="P772" i="14"/>
  <c r="O772" i="14"/>
  <c r="N772" i="14"/>
  <c r="L772" i="14"/>
  <c r="K772" i="14"/>
  <c r="J772" i="14"/>
  <c r="B772" i="14"/>
  <c r="R771" i="14"/>
  <c r="Q771" i="14"/>
  <c r="P771" i="14"/>
  <c r="O771" i="14"/>
  <c r="N771" i="14"/>
  <c r="L771" i="14"/>
  <c r="K771" i="14"/>
  <c r="J771" i="14"/>
  <c r="B771" i="14"/>
  <c r="R770" i="14"/>
  <c r="Q770" i="14"/>
  <c r="P770" i="14"/>
  <c r="O770" i="14"/>
  <c r="N770" i="14"/>
  <c r="L770" i="14"/>
  <c r="K770" i="14"/>
  <c r="J770" i="14"/>
  <c r="B770" i="14"/>
  <c r="R769" i="14"/>
  <c r="Q769" i="14"/>
  <c r="P769" i="14"/>
  <c r="O769" i="14"/>
  <c r="N769" i="14"/>
  <c r="L769" i="14"/>
  <c r="K769" i="14"/>
  <c r="J769" i="14"/>
  <c r="B769" i="14"/>
  <c r="R768" i="14"/>
  <c r="Q768" i="14"/>
  <c r="P768" i="14"/>
  <c r="O768" i="14"/>
  <c r="N768" i="14"/>
  <c r="L768" i="14"/>
  <c r="K768" i="14"/>
  <c r="J768" i="14"/>
  <c r="B768" i="14"/>
  <c r="R767" i="14"/>
  <c r="Q767" i="14"/>
  <c r="P767" i="14"/>
  <c r="O767" i="14"/>
  <c r="N767" i="14"/>
  <c r="L767" i="14"/>
  <c r="K767" i="14"/>
  <c r="J767" i="14"/>
  <c r="B767" i="14"/>
  <c r="R766" i="14"/>
  <c r="Q766" i="14"/>
  <c r="P766" i="14"/>
  <c r="O766" i="14"/>
  <c r="N766" i="14"/>
  <c r="L766" i="14"/>
  <c r="K766" i="14"/>
  <c r="J766" i="14"/>
  <c r="B766" i="14"/>
  <c r="R765" i="14"/>
  <c r="Q765" i="14"/>
  <c r="P765" i="14"/>
  <c r="O765" i="14"/>
  <c r="N765" i="14"/>
  <c r="L765" i="14"/>
  <c r="K765" i="14"/>
  <c r="J765" i="14"/>
  <c r="B765" i="14"/>
  <c r="R764" i="14"/>
  <c r="Q764" i="14"/>
  <c r="P764" i="14"/>
  <c r="O764" i="14"/>
  <c r="N764" i="14"/>
  <c r="L764" i="14"/>
  <c r="K764" i="14"/>
  <c r="J764" i="14"/>
  <c r="B764" i="14"/>
  <c r="R763" i="14"/>
  <c r="Q763" i="14"/>
  <c r="P763" i="14"/>
  <c r="O763" i="14"/>
  <c r="N763" i="14"/>
  <c r="L763" i="14"/>
  <c r="K763" i="14"/>
  <c r="J763" i="14"/>
  <c r="B763" i="14"/>
  <c r="R762" i="14"/>
  <c r="Q762" i="14"/>
  <c r="P762" i="14"/>
  <c r="O762" i="14"/>
  <c r="N762" i="14"/>
  <c r="L762" i="14"/>
  <c r="K762" i="14"/>
  <c r="J762" i="14"/>
  <c r="B762" i="14"/>
  <c r="R761" i="14"/>
  <c r="Q761" i="14"/>
  <c r="P761" i="14"/>
  <c r="O761" i="14"/>
  <c r="N761" i="14"/>
  <c r="L761" i="14"/>
  <c r="K761" i="14"/>
  <c r="J761" i="14"/>
  <c r="B761" i="14"/>
  <c r="R760" i="14"/>
  <c r="Q760" i="14"/>
  <c r="P760" i="14"/>
  <c r="O760" i="14"/>
  <c r="N760" i="14"/>
  <c r="L760" i="14"/>
  <c r="K760" i="14"/>
  <c r="J760" i="14"/>
  <c r="B760" i="14"/>
  <c r="R759" i="14"/>
  <c r="Q759" i="14"/>
  <c r="P759" i="14"/>
  <c r="O759" i="14"/>
  <c r="N759" i="14"/>
  <c r="L759" i="14"/>
  <c r="K759" i="14"/>
  <c r="J759" i="14"/>
  <c r="B759" i="14"/>
  <c r="R758" i="14"/>
  <c r="Q758" i="14"/>
  <c r="P758" i="14"/>
  <c r="O758" i="14"/>
  <c r="N758" i="14"/>
  <c r="L758" i="14"/>
  <c r="K758" i="14"/>
  <c r="J758" i="14"/>
  <c r="B758" i="14"/>
  <c r="R757" i="14"/>
  <c r="Q757" i="14"/>
  <c r="P757" i="14"/>
  <c r="O757" i="14"/>
  <c r="N757" i="14"/>
  <c r="L757" i="14"/>
  <c r="K757" i="14"/>
  <c r="J757" i="14"/>
  <c r="B757" i="14"/>
  <c r="R756" i="14"/>
  <c r="Q756" i="14"/>
  <c r="P756" i="14"/>
  <c r="O756" i="14"/>
  <c r="N756" i="14"/>
  <c r="L756" i="14"/>
  <c r="K756" i="14"/>
  <c r="J756" i="14"/>
  <c r="B756" i="14"/>
  <c r="R755" i="14"/>
  <c r="Q755" i="14"/>
  <c r="P755" i="14"/>
  <c r="O755" i="14"/>
  <c r="N755" i="14"/>
  <c r="L755" i="14"/>
  <c r="K755" i="14"/>
  <c r="J755" i="14"/>
  <c r="B755" i="14"/>
  <c r="R754" i="14"/>
  <c r="Q754" i="14"/>
  <c r="P754" i="14"/>
  <c r="O754" i="14"/>
  <c r="N754" i="14"/>
  <c r="L754" i="14"/>
  <c r="K754" i="14"/>
  <c r="J754" i="14"/>
  <c r="B754" i="14"/>
  <c r="R753" i="14"/>
  <c r="Q753" i="14"/>
  <c r="P753" i="14"/>
  <c r="O753" i="14"/>
  <c r="N753" i="14"/>
  <c r="L753" i="14"/>
  <c r="K753" i="14"/>
  <c r="J753" i="14"/>
  <c r="B753" i="14"/>
  <c r="R752" i="14"/>
  <c r="Q752" i="14"/>
  <c r="P752" i="14"/>
  <c r="O752" i="14"/>
  <c r="N752" i="14"/>
  <c r="L752" i="14"/>
  <c r="K752" i="14"/>
  <c r="J752" i="14"/>
  <c r="B752" i="14"/>
  <c r="R751" i="14"/>
  <c r="Q751" i="14"/>
  <c r="P751" i="14"/>
  <c r="O751" i="14"/>
  <c r="N751" i="14"/>
  <c r="L751" i="14"/>
  <c r="K751" i="14"/>
  <c r="J751" i="14"/>
  <c r="B751" i="14"/>
  <c r="R750" i="14"/>
  <c r="Q750" i="14"/>
  <c r="P750" i="14"/>
  <c r="O750" i="14"/>
  <c r="N750" i="14"/>
  <c r="L750" i="14"/>
  <c r="K750" i="14"/>
  <c r="J750" i="14"/>
  <c r="B750" i="14"/>
  <c r="R749" i="14"/>
  <c r="Q749" i="14"/>
  <c r="P749" i="14"/>
  <c r="O749" i="14"/>
  <c r="N749" i="14"/>
  <c r="L749" i="14"/>
  <c r="K749" i="14"/>
  <c r="J749" i="14"/>
  <c r="B749" i="14"/>
  <c r="R748" i="14"/>
  <c r="Q748" i="14"/>
  <c r="P748" i="14"/>
  <c r="O748" i="14"/>
  <c r="N748" i="14"/>
  <c r="L748" i="14"/>
  <c r="K748" i="14"/>
  <c r="J748" i="14"/>
  <c r="B748" i="14"/>
  <c r="R747" i="14"/>
  <c r="Q747" i="14"/>
  <c r="P747" i="14"/>
  <c r="O747" i="14"/>
  <c r="N747" i="14"/>
  <c r="L747" i="14"/>
  <c r="K747" i="14"/>
  <c r="J747" i="14"/>
  <c r="B747" i="14"/>
  <c r="R746" i="14"/>
  <c r="Q746" i="14"/>
  <c r="P746" i="14"/>
  <c r="O746" i="14"/>
  <c r="N746" i="14"/>
  <c r="L746" i="14"/>
  <c r="K746" i="14"/>
  <c r="J746" i="14"/>
  <c r="B746" i="14"/>
  <c r="R745" i="14"/>
  <c r="Q745" i="14"/>
  <c r="P745" i="14"/>
  <c r="O745" i="14"/>
  <c r="N745" i="14"/>
  <c r="L745" i="14"/>
  <c r="K745" i="14"/>
  <c r="J745" i="14"/>
  <c r="B745" i="14"/>
  <c r="R744" i="14"/>
  <c r="Q744" i="14"/>
  <c r="P744" i="14"/>
  <c r="O744" i="14"/>
  <c r="N744" i="14"/>
  <c r="L744" i="14"/>
  <c r="K744" i="14"/>
  <c r="J744" i="14"/>
  <c r="B744" i="14"/>
  <c r="R743" i="14"/>
  <c r="Q743" i="14"/>
  <c r="P743" i="14"/>
  <c r="O743" i="14"/>
  <c r="N743" i="14"/>
  <c r="L743" i="14"/>
  <c r="K743" i="14"/>
  <c r="J743" i="14"/>
  <c r="B743" i="14"/>
  <c r="R742" i="14"/>
  <c r="Q742" i="14"/>
  <c r="P742" i="14"/>
  <c r="O742" i="14"/>
  <c r="N742" i="14"/>
  <c r="L742" i="14"/>
  <c r="K742" i="14"/>
  <c r="J742" i="14"/>
  <c r="B742" i="14"/>
  <c r="R741" i="14"/>
  <c r="Q741" i="14"/>
  <c r="P741" i="14"/>
  <c r="O741" i="14"/>
  <c r="N741" i="14"/>
  <c r="L741" i="14"/>
  <c r="K741" i="14"/>
  <c r="J741" i="14"/>
  <c r="B741" i="14"/>
  <c r="R740" i="14"/>
  <c r="Q740" i="14"/>
  <c r="P740" i="14"/>
  <c r="O740" i="14"/>
  <c r="N740" i="14"/>
  <c r="L740" i="14"/>
  <c r="K740" i="14"/>
  <c r="J740" i="14"/>
  <c r="R739" i="14"/>
  <c r="Q739" i="14"/>
  <c r="P739" i="14"/>
  <c r="O739" i="14"/>
  <c r="N739" i="14"/>
  <c r="L739" i="14"/>
  <c r="K739" i="14"/>
  <c r="J739" i="14"/>
  <c r="B739" i="14"/>
  <c r="R738" i="14"/>
  <c r="Q738" i="14"/>
  <c r="P738" i="14"/>
  <c r="O738" i="14"/>
  <c r="N738" i="14"/>
  <c r="L738" i="14"/>
  <c r="K738" i="14"/>
  <c r="J738" i="14"/>
  <c r="B738" i="14"/>
  <c r="R737" i="14"/>
  <c r="Q737" i="14"/>
  <c r="P737" i="14"/>
  <c r="O737" i="14"/>
  <c r="N737" i="14"/>
  <c r="L737" i="14"/>
  <c r="K737" i="14"/>
  <c r="J737" i="14"/>
  <c r="B737" i="14"/>
  <c r="R736" i="14"/>
  <c r="Q736" i="14"/>
  <c r="P736" i="14"/>
  <c r="O736" i="14"/>
  <c r="N736" i="14"/>
  <c r="L736" i="14"/>
  <c r="K736" i="14"/>
  <c r="J736" i="14"/>
  <c r="B736" i="14"/>
  <c r="R735" i="14"/>
  <c r="Q735" i="14"/>
  <c r="P735" i="14"/>
  <c r="O735" i="14"/>
  <c r="N735" i="14"/>
  <c r="L735" i="14"/>
  <c r="K735" i="14"/>
  <c r="J735" i="14"/>
  <c r="B735" i="14"/>
  <c r="R734" i="14"/>
  <c r="Q734" i="14"/>
  <c r="P734" i="14"/>
  <c r="O734" i="14"/>
  <c r="N734" i="14"/>
  <c r="L734" i="14"/>
  <c r="K734" i="14"/>
  <c r="J734" i="14"/>
  <c r="B734" i="14"/>
  <c r="R733" i="14"/>
  <c r="Q733" i="14"/>
  <c r="P733" i="14"/>
  <c r="O733" i="14"/>
  <c r="N733" i="14"/>
  <c r="L733" i="14"/>
  <c r="K733" i="14"/>
  <c r="J733" i="14"/>
  <c r="B733" i="14"/>
  <c r="R732" i="14"/>
  <c r="Q732" i="14"/>
  <c r="P732" i="14"/>
  <c r="O732" i="14"/>
  <c r="N732" i="14"/>
  <c r="L732" i="14"/>
  <c r="K732" i="14"/>
  <c r="J732" i="14"/>
  <c r="B732" i="14"/>
  <c r="R731" i="14"/>
  <c r="Q731" i="14"/>
  <c r="P731" i="14"/>
  <c r="O731" i="14"/>
  <c r="N731" i="14"/>
  <c r="L731" i="14"/>
  <c r="K731" i="14"/>
  <c r="J731" i="14"/>
  <c r="B731" i="14"/>
  <c r="R730" i="14"/>
  <c r="Q730" i="14"/>
  <c r="P730" i="14"/>
  <c r="O730" i="14"/>
  <c r="N730" i="14"/>
  <c r="L730" i="14"/>
  <c r="K730" i="14"/>
  <c r="J730" i="14"/>
  <c r="B730" i="14"/>
  <c r="R729" i="14"/>
  <c r="Q729" i="14"/>
  <c r="P729" i="14"/>
  <c r="O729" i="14"/>
  <c r="N729" i="14"/>
  <c r="L729" i="14"/>
  <c r="K729" i="14"/>
  <c r="J729" i="14"/>
  <c r="B729" i="14"/>
  <c r="R728" i="14"/>
  <c r="Q728" i="14"/>
  <c r="P728" i="14"/>
  <c r="O728" i="14"/>
  <c r="N728" i="14"/>
  <c r="L728" i="14"/>
  <c r="K728" i="14"/>
  <c r="J728" i="14"/>
  <c r="B728" i="14"/>
  <c r="R727" i="14"/>
  <c r="Q727" i="14"/>
  <c r="P727" i="14"/>
  <c r="O727" i="14"/>
  <c r="N727" i="14"/>
  <c r="L727" i="14"/>
  <c r="K727" i="14"/>
  <c r="J727" i="14"/>
  <c r="B727" i="14"/>
  <c r="R726" i="14"/>
  <c r="Q726" i="14"/>
  <c r="P726" i="14"/>
  <c r="O726" i="14"/>
  <c r="N726" i="14"/>
  <c r="L726" i="14"/>
  <c r="K726" i="14"/>
  <c r="J726" i="14"/>
  <c r="B726" i="14"/>
  <c r="R725" i="14"/>
  <c r="Q725" i="14"/>
  <c r="P725" i="14"/>
  <c r="O725" i="14"/>
  <c r="N725" i="14"/>
  <c r="L725" i="14"/>
  <c r="K725" i="14"/>
  <c r="J725" i="14"/>
  <c r="B725" i="14"/>
  <c r="R724" i="14"/>
  <c r="Q724" i="14"/>
  <c r="P724" i="14"/>
  <c r="O724" i="14"/>
  <c r="N724" i="14"/>
  <c r="L724" i="14"/>
  <c r="K724" i="14"/>
  <c r="J724" i="14"/>
  <c r="B724" i="14"/>
  <c r="R723" i="14"/>
  <c r="Q723" i="14"/>
  <c r="P723" i="14"/>
  <c r="O723" i="14"/>
  <c r="N723" i="14"/>
  <c r="L723" i="14"/>
  <c r="K723" i="14"/>
  <c r="J723" i="14"/>
  <c r="B723" i="14"/>
  <c r="R722" i="14"/>
  <c r="Q722" i="14"/>
  <c r="P722" i="14"/>
  <c r="O722" i="14"/>
  <c r="N722" i="14"/>
  <c r="L722" i="14"/>
  <c r="K722" i="14"/>
  <c r="J722" i="14"/>
  <c r="B722" i="14"/>
  <c r="R721" i="14"/>
  <c r="Q721" i="14"/>
  <c r="P721" i="14"/>
  <c r="O721" i="14"/>
  <c r="N721" i="14"/>
  <c r="L721" i="14"/>
  <c r="K721" i="14"/>
  <c r="J721" i="14"/>
  <c r="B721" i="14"/>
  <c r="R720" i="14"/>
  <c r="Q720" i="14"/>
  <c r="P720" i="14"/>
  <c r="O720" i="14"/>
  <c r="N720" i="14"/>
  <c r="L720" i="14"/>
  <c r="K720" i="14"/>
  <c r="J720" i="14"/>
  <c r="B720" i="14"/>
  <c r="R719" i="14"/>
  <c r="Q719" i="14"/>
  <c r="P719" i="14"/>
  <c r="O719" i="14"/>
  <c r="N719" i="14"/>
  <c r="L719" i="14"/>
  <c r="K719" i="14"/>
  <c r="J719" i="14"/>
  <c r="B719" i="14"/>
  <c r="R718" i="14"/>
  <c r="Q718" i="14"/>
  <c r="P718" i="14"/>
  <c r="O718" i="14"/>
  <c r="N718" i="14"/>
  <c r="L718" i="14"/>
  <c r="K718" i="14"/>
  <c r="J718" i="14"/>
  <c r="B718" i="14"/>
  <c r="R717" i="14"/>
  <c r="Q717" i="14"/>
  <c r="P717" i="14"/>
  <c r="O717" i="14"/>
  <c r="N717" i="14"/>
  <c r="L717" i="14"/>
  <c r="K717" i="14"/>
  <c r="J717" i="14"/>
  <c r="B717" i="14"/>
  <c r="R716" i="14"/>
  <c r="Q716" i="14"/>
  <c r="P716" i="14"/>
  <c r="O716" i="14"/>
  <c r="N716" i="14"/>
  <c r="L716" i="14"/>
  <c r="K716" i="14"/>
  <c r="J716" i="14"/>
  <c r="B716" i="14"/>
  <c r="R715" i="14"/>
  <c r="Q715" i="14"/>
  <c r="P715" i="14"/>
  <c r="O715" i="14"/>
  <c r="N715" i="14"/>
  <c r="L715" i="14"/>
  <c r="K715" i="14"/>
  <c r="J715" i="14"/>
  <c r="B715" i="14"/>
  <c r="R714" i="14"/>
  <c r="Q714" i="14"/>
  <c r="P714" i="14"/>
  <c r="O714" i="14"/>
  <c r="N714" i="14"/>
  <c r="L714" i="14"/>
  <c r="K714" i="14"/>
  <c r="J714" i="14"/>
  <c r="B714" i="14"/>
  <c r="R713" i="14"/>
  <c r="Q713" i="14"/>
  <c r="P713" i="14"/>
  <c r="O713" i="14"/>
  <c r="N713" i="14"/>
  <c r="L713" i="14"/>
  <c r="K713" i="14"/>
  <c r="J713" i="14"/>
  <c r="B713" i="14"/>
  <c r="R712" i="14"/>
  <c r="Q712" i="14"/>
  <c r="P712" i="14"/>
  <c r="O712" i="14"/>
  <c r="N712" i="14"/>
  <c r="L712" i="14"/>
  <c r="K712" i="14"/>
  <c r="J712" i="14"/>
  <c r="B712" i="14"/>
  <c r="R711" i="14"/>
  <c r="Q711" i="14"/>
  <c r="P711" i="14"/>
  <c r="O711" i="14"/>
  <c r="N711" i="14"/>
  <c r="L711" i="14"/>
  <c r="K711" i="14"/>
  <c r="J711" i="14"/>
  <c r="B711" i="14"/>
  <c r="R710" i="14"/>
  <c r="Q710" i="14"/>
  <c r="P710" i="14"/>
  <c r="O710" i="14"/>
  <c r="N710" i="14"/>
  <c r="L710" i="14"/>
  <c r="K710" i="14"/>
  <c r="J710" i="14"/>
  <c r="B710" i="14"/>
  <c r="R709" i="14"/>
  <c r="Q709" i="14"/>
  <c r="P709" i="14"/>
  <c r="O709" i="14"/>
  <c r="N709" i="14"/>
  <c r="L709" i="14"/>
  <c r="K709" i="14"/>
  <c r="J709" i="14"/>
  <c r="B709" i="14"/>
  <c r="R708" i="14"/>
  <c r="Q708" i="14"/>
  <c r="P708" i="14"/>
  <c r="O708" i="14"/>
  <c r="N708" i="14"/>
  <c r="L708" i="14"/>
  <c r="K708" i="14"/>
  <c r="J708" i="14"/>
  <c r="B708" i="14"/>
  <c r="R707" i="14"/>
  <c r="Q707" i="14"/>
  <c r="P707" i="14"/>
  <c r="O707" i="14"/>
  <c r="N707" i="14"/>
  <c r="L707" i="14"/>
  <c r="K707" i="14"/>
  <c r="J707" i="14"/>
  <c r="B707" i="14"/>
  <c r="R706" i="14"/>
  <c r="Q706" i="14"/>
  <c r="P706" i="14"/>
  <c r="O706" i="14"/>
  <c r="N706" i="14"/>
  <c r="L706" i="14"/>
  <c r="K706" i="14"/>
  <c r="J706" i="14"/>
  <c r="B706" i="14"/>
  <c r="R705" i="14"/>
  <c r="Q705" i="14"/>
  <c r="P705" i="14"/>
  <c r="O705" i="14"/>
  <c r="N705" i="14"/>
  <c r="L705" i="14"/>
  <c r="K705" i="14"/>
  <c r="J705" i="14"/>
  <c r="B705" i="14"/>
  <c r="R704" i="14"/>
  <c r="Q704" i="14"/>
  <c r="P704" i="14"/>
  <c r="O704" i="14"/>
  <c r="N704" i="14"/>
  <c r="L704" i="14"/>
  <c r="K704" i="14"/>
  <c r="J704" i="14"/>
  <c r="B704" i="14"/>
  <c r="R703" i="14"/>
  <c r="Q703" i="14"/>
  <c r="P703" i="14"/>
  <c r="O703" i="14"/>
  <c r="N703" i="14"/>
  <c r="L703" i="14"/>
  <c r="K703" i="14"/>
  <c r="J703" i="14"/>
  <c r="B703" i="14"/>
  <c r="R702" i="14"/>
  <c r="Q702" i="14"/>
  <c r="P702" i="14"/>
  <c r="O702" i="14"/>
  <c r="N702" i="14"/>
  <c r="L702" i="14"/>
  <c r="K702" i="14"/>
  <c r="J702" i="14"/>
  <c r="B702" i="14"/>
  <c r="R701" i="14"/>
  <c r="Q701" i="14"/>
  <c r="P701" i="14"/>
  <c r="O701" i="14"/>
  <c r="N701" i="14"/>
  <c r="L701" i="14"/>
  <c r="K701" i="14"/>
  <c r="J701" i="14"/>
  <c r="B701" i="14"/>
  <c r="R700" i="14"/>
  <c r="Q700" i="14"/>
  <c r="P700" i="14"/>
  <c r="O700" i="14"/>
  <c r="N700" i="14"/>
  <c r="L700" i="14"/>
  <c r="K700" i="14"/>
  <c r="J700" i="14"/>
  <c r="B700" i="14"/>
  <c r="R699" i="14"/>
  <c r="Q699" i="14"/>
  <c r="P699" i="14"/>
  <c r="O699" i="14"/>
  <c r="N699" i="14"/>
  <c r="L699" i="14"/>
  <c r="K699" i="14"/>
  <c r="J699" i="14"/>
  <c r="B699" i="14"/>
  <c r="R698" i="14"/>
  <c r="Q698" i="14"/>
  <c r="P698" i="14"/>
  <c r="O698" i="14"/>
  <c r="N698" i="14"/>
  <c r="L698" i="14"/>
  <c r="K698" i="14"/>
  <c r="J698" i="14"/>
  <c r="B698" i="14"/>
  <c r="R697" i="14"/>
  <c r="Q697" i="14"/>
  <c r="P697" i="14"/>
  <c r="O697" i="14"/>
  <c r="N697" i="14"/>
  <c r="L697" i="14"/>
  <c r="K697" i="14"/>
  <c r="J697" i="14"/>
  <c r="B697" i="14"/>
  <c r="R696" i="14"/>
  <c r="Q696" i="14"/>
  <c r="P696" i="14"/>
  <c r="O696" i="14"/>
  <c r="N696" i="14"/>
  <c r="L696" i="14"/>
  <c r="K696" i="14"/>
  <c r="J696" i="14"/>
  <c r="B696" i="14"/>
  <c r="R695" i="14"/>
  <c r="Q695" i="14"/>
  <c r="P695" i="14"/>
  <c r="O695" i="14"/>
  <c r="N695" i="14"/>
  <c r="L695" i="14"/>
  <c r="K695" i="14"/>
  <c r="J695" i="14"/>
  <c r="B695" i="14"/>
  <c r="R694" i="14"/>
  <c r="Q694" i="14"/>
  <c r="P694" i="14"/>
  <c r="O694" i="14"/>
  <c r="N694" i="14"/>
  <c r="L694" i="14"/>
  <c r="K694" i="14"/>
  <c r="J694" i="14"/>
  <c r="B694" i="14"/>
  <c r="R693" i="14"/>
  <c r="Q693" i="14"/>
  <c r="P693" i="14"/>
  <c r="O693" i="14"/>
  <c r="N693" i="14"/>
  <c r="L693" i="14"/>
  <c r="K693" i="14"/>
  <c r="J693" i="14"/>
  <c r="B693" i="14"/>
  <c r="R692" i="14"/>
  <c r="Q692" i="14"/>
  <c r="P692" i="14"/>
  <c r="O692" i="14"/>
  <c r="N692" i="14"/>
  <c r="L692" i="14"/>
  <c r="K692" i="14"/>
  <c r="J692" i="14"/>
  <c r="B692" i="14"/>
  <c r="R691" i="14"/>
  <c r="Q691" i="14"/>
  <c r="P691" i="14"/>
  <c r="O691" i="14"/>
  <c r="N691" i="14"/>
  <c r="L691" i="14"/>
  <c r="K691" i="14"/>
  <c r="J691" i="14"/>
  <c r="B691" i="14"/>
  <c r="R690" i="14"/>
  <c r="Q690" i="14"/>
  <c r="P690" i="14"/>
  <c r="O690" i="14"/>
  <c r="N690" i="14"/>
  <c r="L690" i="14"/>
  <c r="K690" i="14"/>
  <c r="J690" i="14"/>
  <c r="B690" i="14"/>
  <c r="R689" i="14"/>
  <c r="Q689" i="14"/>
  <c r="P689" i="14"/>
  <c r="O689" i="14"/>
  <c r="N689" i="14"/>
  <c r="L689" i="14"/>
  <c r="K689" i="14"/>
  <c r="J689" i="14"/>
  <c r="B689" i="14"/>
  <c r="R688" i="14"/>
  <c r="Q688" i="14"/>
  <c r="P688" i="14"/>
  <c r="O688" i="14"/>
  <c r="N688" i="14"/>
  <c r="L688" i="14"/>
  <c r="K688" i="14"/>
  <c r="J688" i="14"/>
  <c r="B688" i="14"/>
  <c r="R687" i="14"/>
  <c r="Q687" i="14"/>
  <c r="P687" i="14"/>
  <c r="O687" i="14"/>
  <c r="N687" i="14"/>
  <c r="L687" i="14"/>
  <c r="K687" i="14"/>
  <c r="J687" i="14"/>
  <c r="B687" i="14"/>
  <c r="R686" i="14"/>
  <c r="Q686" i="14"/>
  <c r="P686" i="14"/>
  <c r="O686" i="14"/>
  <c r="N686" i="14"/>
  <c r="L686" i="14"/>
  <c r="K686" i="14"/>
  <c r="J686" i="14"/>
  <c r="B686" i="14"/>
  <c r="R685" i="14"/>
  <c r="Q685" i="14"/>
  <c r="P685" i="14"/>
  <c r="O685" i="14"/>
  <c r="N685" i="14"/>
  <c r="L685" i="14"/>
  <c r="K685" i="14"/>
  <c r="J685" i="14"/>
  <c r="B685" i="14"/>
  <c r="R684" i="14"/>
  <c r="Q684" i="14"/>
  <c r="P684" i="14"/>
  <c r="O684" i="14"/>
  <c r="N684" i="14"/>
  <c r="L684" i="14"/>
  <c r="K684" i="14"/>
  <c r="J684" i="14"/>
  <c r="B684" i="14"/>
  <c r="R683" i="14"/>
  <c r="Q683" i="14"/>
  <c r="P683" i="14"/>
  <c r="O683" i="14"/>
  <c r="N683" i="14"/>
  <c r="L683" i="14"/>
  <c r="K683" i="14"/>
  <c r="J683" i="14"/>
  <c r="B683" i="14"/>
  <c r="R682" i="14"/>
  <c r="Q682" i="14"/>
  <c r="P682" i="14"/>
  <c r="O682" i="14"/>
  <c r="N682" i="14"/>
  <c r="L682" i="14"/>
  <c r="K682" i="14"/>
  <c r="J682" i="14"/>
  <c r="B682" i="14"/>
  <c r="R681" i="14"/>
  <c r="Q681" i="14"/>
  <c r="P681" i="14"/>
  <c r="O681" i="14"/>
  <c r="N681" i="14"/>
  <c r="L681" i="14"/>
  <c r="K681" i="14"/>
  <c r="J681" i="14"/>
  <c r="B681" i="14"/>
  <c r="R680" i="14"/>
  <c r="Q680" i="14"/>
  <c r="P680" i="14"/>
  <c r="O680" i="14"/>
  <c r="N680" i="14"/>
  <c r="L680" i="14"/>
  <c r="K680" i="14"/>
  <c r="J680" i="14"/>
  <c r="B680" i="14"/>
  <c r="R679" i="14"/>
  <c r="Q679" i="14"/>
  <c r="P679" i="14"/>
  <c r="O679" i="14"/>
  <c r="N679" i="14"/>
  <c r="L679" i="14"/>
  <c r="K679" i="14"/>
  <c r="J679" i="14"/>
  <c r="B679" i="14"/>
  <c r="R678" i="14"/>
  <c r="Q678" i="14"/>
  <c r="P678" i="14"/>
  <c r="O678" i="14"/>
  <c r="N678" i="14"/>
  <c r="L678" i="14"/>
  <c r="K678" i="14"/>
  <c r="J678" i="14"/>
  <c r="B678" i="14"/>
  <c r="R677" i="14"/>
  <c r="Q677" i="14"/>
  <c r="P677" i="14"/>
  <c r="O677" i="14"/>
  <c r="N677" i="14"/>
  <c r="L677" i="14"/>
  <c r="K677" i="14"/>
  <c r="J677" i="14"/>
  <c r="B677" i="14"/>
  <c r="R676" i="14"/>
  <c r="Q676" i="14"/>
  <c r="P676" i="14"/>
  <c r="O676" i="14"/>
  <c r="N676" i="14"/>
  <c r="L676" i="14"/>
  <c r="K676" i="14"/>
  <c r="J676" i="14"/>
  <c r="B676" i="14"/>
  <c r="R675" i="14"/>
  <c r="Q675" i="14"/>
  <c r="P675" i="14"/>
  <c r="O675" i="14"/>
  <c r="N675" i="14"/>
  <c r="L675" i="14"/>
  <c r="K675" i="14"/>
  <c r="J675" i="14"/>
  <c r="B675" i="14"/>
  <c r="R674" i="14"/>
  <c r="Q674" i="14"/>
  <c r="P674" i="14"/>
  <c r="O674" i="14"/>
  <c r="N674" i="14"/>
  <c r="L674" i="14"/>
  <c r="K674" i="14"/>
  <c r="J674" i="14"/>
  <c r="B674" i="14"/>
  <c r="R673" i="14"/>
  <c r="Q673" i="14"/>
  <c r="P673" i="14"/>
  <c r="O673" i="14"/>
  <c r="N673" i="14"/>
  <c r="L673" i="14"/>
  <c r="K673" i="14"/>
  <c r="J673" i="14"/>
  <c r="B673" i="14"/>
  <c r="R672" i="14"/>
  <c r="Q672" i="14"/>
  <c r="P672" i="14"/>
  <c r="O672" i="14"/>
  <c r="N672" i="14"/>
  <c r="L672" i="14"/>
  <c r="K672" i="14"/>
  <c r="J672" i="14"/>
  <c r="B672" i="14"/>
  <c r="R671" i="14"/>
  <c r="Q671" i="14"/>
  <c r="P671" i="14"/>
  <c r="O671" i="14"/>
  <c r="N671" i="14"/>
  <c r="L671" i="14"/>
  <c r="K671" i="14"/>
  <c r="J671" i="14"/>
  <c r="B671" i="14"/>
  <c r="R670" i="14"/>
  <c r="Q670" i="14"/>
  <c r="P670" i="14"/>
  <c r="O670" i="14"/>
  <c r="N670" i="14"/>
  <c r="L670" i="14"/>
  <c r="K670" i="14"/>
  <c r="J670" i="14"/>
  <c r="B670" i="14"/>
  <c r="R669" i="14"/>
  <c r="Q669" i="14"/>
  <c r="P669" i="14"/>
  <c r="O669" i="14"/>
  <c r="N669" i="14"/>
  <c r="L669" i="14"/>
  <c r="K669" i="14"/>
  <c r="J669" i="14"/>
  <c r="B669" i="14"/>
  <c r="R668" i="14"/>
  <c r="Q668" i="14"/>
  <c r="P668" i="14"/>
  <c r="O668" i="14"/>
  <c r="N668" i="14"/>
  <c r="L668" i="14"/>
  <c r="K668" i="14"/>
  <c r="J668" i="14"/>
  <c r="B668" i="14"/>
  <c r="R667" i="14"/>
  <c r="Q667" i="14"/>
  <c r="P667" i="14"/>
  <c r="O667" i="14"/>
  <c r="N667" i="14"/>
  <c r="L667" i="14"/>
  <c r="K667" i="14"/>
  <c r="J667" i="14"/>
  <c r="B667" i="14"/>
  <c r="R666" i="14"/>
  <c r="Q666" i="14"/>
  <c r="P666" i="14"/>
  <c r="O666" i="14"/>
  <c r="N666" i="14"/>
  <c r="L666" i="14"/>
  <c r="K666" i="14"/>
  <c r="J666" i="14"/>
  <c r="B666" i="14"/>
  <c r="R665" i="14"/>
  <c r="Q665" i="14"/>
  <c r="P665" i="14"/>
  <c r="O665" i="14"/>
  <c r="N665" i="14"/>
  <c r="L665" i="14"/>
  <c r="K665" i="14"/>
  <c r="J665" i="14"/>
  <c r="B665" i="14"/>
  <c r="R664" i="14"/>
  <c r="Q664" i="14"/>
  <c r="P664" i="14"/>
  <c r="O664" i="14"/>
  <c r="N664" i="14"/>
  <c r="L664" i="14"/>
  <c r="K664" i="14"/>
  <c r="J664" i="14"/>
  <c r="B664" i="14"/>
  <c r="R663" i="14"/>
  <c r="Q663" i="14"/>
  <c r="P663" i="14"/>
  <c r="O663" i="14"/>
  <c r="N663" i="14"/>
  <c r="L663" i="14"/>
  <c r="K663" i="14"/>
  <c r="J663" i="14"/>
  <c r="B663" i="14"/>
  <c r="R662" i="14"/>
  <c r="Q662" i="14"/>
  <c r="P662" i="14"/>
  <c r="O662" i="14"/>
  <c r="N662" i="14"/>
  <c r="L662" i="14"/>
  <c r="K662" i="14"/>
  <c r="J662" i="14"/>
  <c r="B662" i="14"/>
  <c r="R661" i="14"/>
  <c r="Q661" i="14"/>
  <c r="P661" i="14"/>
  <c r="O661" i="14"/>
  <c r="N661" i="14"/>
  <c r="L661" i="14"/>
  <c r="K661" i="14"/>
  <c r="J661" i="14"/>
  <c r="B661" i="14"/>
  <c r="R660" i="14"/>
  <c r="Q660" i="14"/>
  <c r="P660" i="14"/>
  <c r="O660" i="14"/>
  <c r="N660" i="14"/>
  <c r="L660" i="14"/>
  <c r="K660" i="14"/>
  <c r="J660" i="14"/>
  <c r="B660" i="14"/>
  <c r="R659" i="14"/>
  <c r="Q659" i="14"/>
  <c r="P659" i="14"/>
  <c r="O659" i="14"/>
  <c r="N659" i="14"/>
  <c r="L659" i="14"/>
  <c r="K659" i="14"/>
  <c r="J659" i="14"/>
  <c r="B659" i="14"/>
  <c r="R658" i="14"/>
  <c r="Q658" i="14"/>
  <c r="P658" i="14"/>
  <c r="O658" i="14"/>
  <c r="N658" i="14"/>
  <c r="L658" i="14"/>
  <c r="K658" i="14"/>
  <c r="J658" i="14"/>
  <c r="B658" i="14"/>
  <c r="R657" i="14"/>
  <c r="Q657" i="14"/>
  <c r="P657" i="14"/>
  <c r="O657" i="14"/>
  <c r="N657" i="14"/>
  <c r="L657" i="14"/>
  <c r="K657" i="14"/>
  <c r="J657" i="14"/>
  <c r="B657" i="14"/>
  <c r="R656" i="14"/>
  <c r="Q656" i="14"/>
  <c r="P656" i="14"/>
  <c r="O656" i="14"/>
  <c r="N656" i="14"/>
  <c r="L656" i="14"/>
  <c r="K656" i="14"/>
  <c r="J656" i="14"/>
  <c r="B656" i="14"/>
  <c r="R655" i="14"/>
  <c r="Q655" i="14"/>
  <c r="P655" i="14"/>
  <c r="O655" i="14"/>
  <c r="N655" i="14"/>
  <c r="L655" i="14"/>
  <c r="K655" i="14"/>
  <c r="J655" i="14"/>
  <c r="B655" i="14"/>
  <c r="R654" i="14"/>
  <c r="Q654" i="14"/>
  <c r="P654" i="14"/>
  <c r="O654" i="14"/>
  <c r="N654" i="14"/>
  <c r="L654" i="14"/>
  <c r="K654" i="14"/>
  <c r="J654" i="14"/>
  <c r="B654" i="14"/>
  <c r="R653" i="14"/>
  <c r="Q653" i="14"/>
  <c r="P653" i="14"/>
  <c r="O653" i="14"/>
  <c r="N653" i="14"/>
  <c r="L653" i="14"/>
  <c r="K653" i="14"/>
  <c r="J653" i="14"/>
  <c r="B653" i="14"/>
  <c r="R652" i="14"/>
  <c r="Q652" i="14"/>
  <c r="P652" i="14"/>
  <c r="O652" i="14"/>
  <c r="N652" i="14"/>
  <c r="L652" i="14"/>
  <c r="K652" i="14"/>
  <c r="J652" i="14"/>
  <c r="B652" i="14"/>
  <c r="R651" i="14"/>
  <c r="Q651" i="14"/>
  <c r="P651" i="14"/>
  <c r="O651" i="14"/>
  <c r="N651" i="14"/>
  <c r="L651" i="14"/>
  <c r="K651" i="14"/>
  <c r="J651" i="14"/>
  <c r="B651" i="14"/>
  <c r="R650" i="14"/>
  <c r="Q650" i="14"/>
  <c r="P650" i="14"/>
  <c r="O650" i="14"/>
  <c r="N650" i="14"/>
  <c r="L650" i="14"/>
  <c r="K650" i="14"/>
  <c r="J650" i="14"/>
  <c r="B650" i="14"/>
  <c r="R649" i="14"/>
  <c r="Q649" i="14"/>
  <c r="P649" i="14"/>
  <c r="O649" i="14"/>
  <c r="N649" i="14"/>
  <c r="L649" i="14"/>
  <c r="K649" i="14"/>
  <c r="J649" i="14"/>
  <c r="B649" i="14"/>
  <c r="R648" i="14"/>
  <c r="Q648" i="14"/>
  <c r="P648" i="14"/>
  <c r="O648" i="14"/>
  <c r="N648" i="14"/>
  <c r="L648" i="14"/>
  <c r="K648" i="14"/>
  <c r="J648" i="14"/>
  <c r="B648" i="14"/>
  <c r="R647" i="14"/>
  <c r="Q647" i="14"/>
  <c r="P647" i="14"/>
  <c r="O647" i="14"/>
  <c r="N647" i="14"/>
  <c r="L647" i="14"/>
  <c r="K647" i="14"/>
  <c r="J647" i="14"/>
  <c r="B647" i="14"/>
  <c r="R646" i="14"/>
  <c r="Q646" i="14"/>
  <c r="P646" i="14"/>
  <c r="O646" i="14"/>
  <c r="N646" i="14"/>
  <c r="L646" i="14"/>
  <c r="K646" i="14"/>
  <c r="J646" i="14"/>
  <c r="B646" i="14"/>
  <c r="R645" i="14"/>
  <c r="Q645" i="14"/>
  <c r="P645" i="14"/>
  <c r="O645" i="14"/>
  <c r="N645" i="14"/>
  <c r="L645" i="14"/>
  <c r="K645" i="14"/>
  <c r="J645" i="14"/>
  <c r="B645" i="14"/>
  <c r="R644" i="14"/>
  <c r="Q644" i="14"/>
  <c r="P644" i="14"/>
  <c r="O644" i="14"/>
  <c r="N644" i="14"/>
  <c r="L644" i="14"/>
  <c r="K644" i="14"/>
  <c r="J644" i="14"/>
  <c r="B644" i="14"/>
  <c r="R643" i="14"/>
  <c r="Q643" i="14"/>
  <c r="P643" i="14"/>
  <c r="O643" i="14"/>
  <c r="N643" i="14"/>
  <c r="L643" i="14"/>
  <c r="K643" i="14"/>
  <c r="J643" i="14"/>
  <c r="B643" i="14"/>
  <c r="R642" i="14"/>
  <c r="Q642" i="14"/>
  <c r="P642" i="14"/>
  <c r="O642" i="14"/>
  <c r="N642" i="14"/>
  <c r="L642" i="14"/>
  <c r="K642" i="14"/>
  <c r="J642" i="14"/>
  <c r="B642" i="14"/>
  <c r="R641" i="14"/>
  <c r="Q641" i="14"/>
  <c r="P641" i="14"/>
  <c r="O641" i="14"/>
  <c r="N641" i="14"/>
  <c r="L641" i="14"/>
  <c r="K641" i="14"/>
  <c r="J641" i="14"/>
  <c r="B641" i="14"/>
  <c r="R640" i="14"/>
  <c r="Q640" i="14"/>
  <c r="P640" i="14"/>
  <c r="O640" i="14"/>
  <c r="N640" i="14"/>
  <c r="L640" i="14"/>
  <c r="K640" i="14"/>
  <c r="J640" i="14"/>
  <c r="B640" i="14"/>
  <c r="R639" i="14"/>
  <c r="Q639" i="14"/>
  <c r="P639" i="14"/>
  <c r="O639" i="14"/>
  <c r="N639" i="14"/>
  <c r="L639" i="14"/>
  <c r="K639" i="14"/>
  <c r="J639" i="14"/>
  <c r="B639" i="14"/>
  <c r="R638" i="14"/>
  <c r="Q638" i="14"/>
  <c r="P638" i="14"/>
  <c r="O638" i="14"/>
  <c r="N638" i="14"/>
  <c r="L638" i="14"/>
  <c r="K638" i="14"/>
  <c r="J638" i="14"/>
  <c r="B638" i="14"/>
  <c r="R637" i="14"/>
  <c r="Q637" i="14"/>
  <c r="P637" i="14"/>
  <c r="O637" i="14"/>
  <c r="N637" i="14"/>
  <c r="L637" i="14"/>
  <c r="K637" i="14"/>
  <c r="J637" i="14"/>
  <c r="B637" i="14"/>
  <c r="R636" i="14"/>
  <c r="Q636" i="14"/>
  <c r="P636" i="14"/>
  <c r="O636" i="14"/>
  <c r="N636" i="14"/>
  <c r="L636" i="14"/>
  <c r="K636" i="14"/>
  <c r="J636" i="14"/>
  <c r="B636" i="14"/>
  <c r="R635" i="14"/>
  <c r="Q635" i="14"/>
  <c r="P635" i="14"/>
  <c r="O635" i="14"/>
  <c r="N635" i="14"/>
  <c r="L635" i="14"/>
  <c r="K635" i="14"/>
  <c r="J635" i="14"/>
  <c r="B635" i="14"/>
  <c r="R634" i="14"/>
  <c r="Q634" i="14"/>
  <c r="P634" i="14"/>
  <c r="O634" i="14"/>
  <c r="N634" i="14"/>
  <c r="L634" i="14"/>
  <c r="K634" i="14"/>
  <c r="J634" i="14"/>
  <c r="B634" i="14"/>
  <c r="R633" i="14"/>
  <c r="Q633" i="14"/>
  <c r="P633" i="14"/>
  <c r="O633" i="14"/>
  <c r="N633" i="14"/>
  <c r="L633" i="14"/>
  <c r="K633" i="14"/>
  <c r="J633" i="14"/>
  <c r="B633" i="14"/>
  <c r="R632" i="14"/>
  <c r="Q632" i="14"/>
  <c r="P632" i="14"/>
  <c r="O632" i="14"/>
  <c r="N632" i="14"/>
  <c r="L632" i="14"/>
  <c r="K632" i="14"/>
  <c r="J632" i="14"/>
  <c r="B632" i="14"/>
  <c r="R631" i="14"/>
  <c r="Q631" i="14"/>
  <c r="P631" i="14"/>
  <c r="O631" i="14"/>
  <c r="N631" i="14"/>
  <c r="L631" i="14"/>
  <c r="K631" i="14"/>
  <c r="J631" i="14"/>
  <c r="B631" i="14"/>
  <c r="R630" i="14"/>
  <c r="Q630" i="14"/>
  <c r="P630" i="14"/>
  <c r="O630" i="14"/>
  <c r="N630" i="14"/>
  <c r="L630" i="14"/>
  <c r="K630" i="14"/>
  <c r="J630" i="14"/>
  <c r="B630" i="14"/>
  <c r="R629" i="14"/>
  <c r="Q629" i="14"/>
  <c r="P629" i="14"/>
  <c r="O629" i="14"/>
  <c r="N629" i="14"/>
  <c r="L629" i="14"/>
  <c r="K629" i="14"/>
  <c r="J629" i="14"/>
  <c r="B629" i="14"/>
  <c r="R628" i="14"/>
  <c r="Q628" i="14"/>
  <c r="P628" i="14"/>
  <c r="O628" i="14"/>
  <c r="N628" i="14"/>
  <c r="L628" i="14"/>
  <c r="K628" i="14"/>
  <c r="J628" i="14"/>
  <c r="B628" i="14"/>
  <c r="R627" i="14"/>
  <c r="Q627" i="14"/>
  <c r="P627" i="14"/>
  <c r="O627" i="14"/>
  <c r="N627" i="14"/>
  <c r="L627" i="14"/>
  <c r="K627" i="14"/>
  <c r="J627" i="14"/>
  <c r="B627" i="14"/>
  <c r="R626" i="14"/>
  <c r="Q626" i="14"/>
  <c r="P626" i="14"/>
  <c r="O626" i="14"/>
  <c r="N626" i="14"/>
  <c r="L626" i="14"/>
  <c r="K626" i="14"/>
  <c r="J626" i="14"/>
  <c r="B626" i="14"/>
  <c r="R625" i="14"/>
  <c r="Q625" i="14"/>
  <c r="P625" i="14"/>
  <c r="O625" i="14"/>
  <c r="N625" i="14"/>
  <c r="L625" i="14"/>
  <c r="K625" i="14"/>
  <c r="J625" i="14"/>
  <c r="B625" i="14"/>
  <c r="R624" i="14"/>
  <c r="Q624" i="14"/>
  <c r="P624" i="14"/>
  <c r="O624" i="14"/>
  <c r="N624" i="14"/>
  <c r="L624" i="14"/>
  <c r="K624" i="14"/>
  <c r="J624" i="14"/>
  <c r="B624" i="14"/>
  <c r="R623" i="14"/>
  <c r="Q623" i="14"/>
  <c r="P623" i="14"/>
  <c r="O623" i="14"/>
  <c r="N623" i="14"/>
  <c r="L623" i="14"/>
  <c r="K623" i="14"/>
  <c r="J623" i="14"/>
  <c r="B623" i="14"/>
  <c r="R622" i="14"/>
  <c r="Q622" i="14"/>
  <c r="P622" i="14"/>
  <c r="O622" i="14"/>
  <c r="N622" i="14"/>
  <c r="L622" i="14"/>
  <c r="K622" i="14"/>
  <c r="J622" i="14"/>
  <c r="B622" i="14"/>
  <c r="R621" i="14"/>
  <c r="Q621" i="14"/>
  <c r="P621" i="14"/>
  <c r="O621" i="14"/>
  <c r="N621" i="14"/>
  <c r="L621" i="14"/>
  <c r="K621" i="14"/>
  <c r="J621" i="14"/>
  <c r="B621" i="14"/>
  <c r="R620" i="14"/>
  <c r="Q620" i="14"/>
  <c r="P620" i="14"/>
  <c r="O620" i="14"/>
  <c r="N620" i="14"/>
  <c r="L620" i="14"/>
  <c r="K620" i="14"/>
  <c r="J620" i="14"/>
  <c r="B620" i="14"/>
  <c r="R619" i="14"/>
  <c r="Q619" i="14"/>
  <c r="P619" i="14"/>
  <c r="O619" i="14"/>
  <c r="N619" i="14"/>
  <c r="L619" i="14"/>
  <c r="K619" i="14"/>
  <c r="J619" i="14"/>
  <c r="B619" i="14"/>
  <c r="R618" i="14"/>
  <c r="Q618" i="14"/>
  <c r="P618" i="14"/>
  <c r="O618" i="14"/>
  <c r="N618" i="14"/>
  <c r="L618" i="14"/>
  <c r="K618" i="14"/>
  <c r="J618" i="14"/>
  <c r="B618" i="14"/>
  <c r="R617" i="14"/>
  <c r="Q617" i="14"/>
  <c r="P617" i="14"/>
  <c r="O617" i="14"/>
  <c r="N617" i="14"/>
  <c r="L617" i="14"/>
  <c r="K617" i="14"/>
  <c r="J617" i="14"/>
  <c r="B617" i="14"/>
  <c r="R616" i="14"/>
  <c r="Q616" i="14"/>
  <c r="P616" i="14"/>
  <c r="O616" i="14"/>
  <c r="N616" i="14"/>
  <c r="L616" i="14"/>
  <c r="K616" i="14"/>
  <c r="J616" i="14"/>
  <c r="B616" i="14"/>
  <c r="R615" i="14"/>
  <c r="Q615" i="14"/>
  <c r="P615" i="14"/>
  <c r="O615" i="14"/>
  <c r="N615" i="14"/>
  <c r="L615" i="14"/>
  <c r="K615" i="14"/>
  <c r="J615" i="14"/>
  <c r="B615" i="14"/>
  <c r="R614" i="14"/>
  <c r="Q614" i="14"/>
  <c r="P614" i="14"/>
  <c r="O614" i="14"/>
  <c r="N614" i="14"/>
  <c r="L614" i="14"/>
  <c r="K614" i="14"/>
  <c r="J614" i="14"/>
  <c r="B614" i="14"/>
  <c r="R613" i="14"/>
  <c r="Q613" i="14"/>
  <c r="P613" i="14"/>
  <c r="O613" i="14"/>
  <c r="N613" i="14"/>
  <c r="L613" i="14"/>
  <c r="K613" i="14"/>
  <c r="J613" i="14"/>
  <c r="B613" i="14"/>
  <c r="R612" i="14"/>
  <c r="Q612" i="14"/>
  <c r="P612" i="14"/>
  <c r="O612" i="14"/>
  <c r="N612" i="14"/>
  <c r="L612" i="14"/>
  <c r="K612" i="14"/>
  <c r="J612" i="14"/>
  <c r="B612" i="14"/>
  <c r="R611" i="14"/>
  <c r="Q611" i="14"/>
  <c r="P611" i="14"/>
  <c r="O611" i="14"/>
  <c r="N611" i="14"/>
  <c r="L611" i="14"/>
  <c r="K611" i="14"/>
  <c r="J611" i="14"/>
  <c r="B611" i="14"/>
  <c r="R610" i="14"/>
  <c r="Q610" i="14"/>
  <c r="P610" i="14"/>
  <c r="O610" i="14"/>
  <c r="N610" i="14"/>
  <c r="L610" i="14"/>
  <c r="K610" i="14"/>
  <c r="J610" i="14"/>
  <c r="B610" i="14"/>
  <c r="R609" i="14"/>
  <c r="Q609" i="14"/>
  <c r="P609" i="14"/>
  <c r="O609" i="14"/>
  <c r="N609" i="14"/>
  <c r="L609" i="14"/>
  <c r="K609" i="14"/>
  <c r="J609" i="14"/>
  <c r="B609" i="14"/>
  <c r="R608" i="14"/>
  <c r="Q608" i="14"/>
  <c r="P608" i="14"/>
  <c r="O608" i="14"/>
  <c r="N608" i="14"/>
  <c r="L608" i="14"/>
  <c r="K608" i="14"/>
  <c r="J608" i="14"/>
  <c r="B608" i="14"/>
  <c r="R607" i="14"/>
  <c r="Q607" i="14"/>
  <c r="P607" i="14"/>
  <c r="O607" i="14"/>
  <c r="N607" i="14"/>
  <c r="L607" i="14"/>
  <c r="K607" i="14"/>
  <c r="J607" i="14"/>
  <c r="B607" i="14"/>
  <c r="R606" i="14"/>
  <c r="Q606" i="14"/>
  <c r="P606" i="14"/>
  <c r="O606" i="14"/>
  <c r="N606" i="14"/>
  <c r="L606" i="14"/>
  <c r="K606" i="14"/>
  <c r="J606" i="14"/>
  <c r="B606" i="14"/>
  <c r="R605" i="14"/>
  <c r="Q605" i="14"/>
  <c r="P605" i="14"/>
  <c r="O605" i="14"/>
  <c r="N605" i="14"/>
  <c r="L605" i="14"/>
  <c r="K605" i="14"/>
  <c r="J605" i="14"/>
  <c r="B605" i="14"/>
  <c r="R604" i="14"/>
  <c r="Q604" i="14"/>
  <c r="P604" i="14"/>
  <c r="O604" i="14"/>
  <c r="N604" i="14"/>
  <c r="L604" i="14"/>
  <c r="K604" i="14"/>
  <c r="J604" i="14"/>
  <c r="B604" i="14"/>
  <c r="R603" i="14"/>
  <c r="Q603" i="14"/>
  <c r="P603" i="14"/>
  <c r="O603" i="14"/>
  <c r="N603" i="14"/>
  <c r="L603" i="14"/>
  <c r="K603" i="14"/>
  <c r="J603" i="14"/>
  <c r="B603" i="14"/>
  <c r="R602" i="14"/>
  <c r="Q602" i="14"/>
  <c r="P602" i="14"/>
  <c r="O602" i="14"/>
  <c r="N602" i="14"/>
  <c r="L602" i="14"/>
  <c r="K602" i="14"/>
  <c r="J602" i="14"/>
  <c r="B602" i="14"/>
  <c r="R601" i="14"/>
  <c r="Q601" i="14"/>
  <c r="P601" i="14"/>
  <c r="O601" i="14"/>
  <c r="N601" i="14"/>
  <c r="L601" i="14"/>
  <c r="K601" i="14"/>
  <c r="J601" i="14"/>
  <c r="B601" i="14"/>
  <c r="R600" i="14"/>
  <c r="Q600" i="14"/>
  <c r="P600" i="14"/>
  <c r="O600" i="14"/>
  <c r="N600" i="14"/>
  <c r="L600" i="14"/>
  <c r="K600" i="14"/>
  <c r="J600" i="14"/>
  <c r="B600" i="14"/>
  <c r="R599" i="14"/>
  <c r="Q599" i="14"/>
  <c r="P599" i="14"/>
  <c r="O599" i="14"/>
  <c r="N599" i="14"/>
  <c r="L599" i="14"/>
  <c r="K599" i="14"/>
  <c r="J599" i="14"/>
  <c r="B599" i="14"/>
  <c r="R598" i="14"/>
  <c r="Q598" i="14"/>
  <c r="P598" i="14"/>
  <c r="O598" i="14"/>
  <c r="N598" i="14"/>
  <c r="L598" i="14"/>
  <c r="K598" i="14"/>
  <c r="J598" i="14"/>
  <c r="B598" i="14"/>
  <c r="R597" i="14"/>
  <c r="Q597" i="14"/>
  <c r="P597" i="14"/>
  <c r="O597" i="14"/>
  <c r="N597" i="14"/>
  <c r="L597" i="14"/>
  <c r="K597" i="14"/>
  <c r="J597" i="14"/>
  <c r="B597" i="14"/>
  <c r="R596" i="14"/>
  <c r="Q596" i="14"/>
  <c r="P596" i="14"/>
  <c r="O596" i="14"/>
  <c r="N596" i="14"/>
  <c r="L596" i="14"/>
  <c r="K596" i="14"/>
  <c r="J596" i="14"/>
  <c r="B596" i="14"/>
  <c r="R595" i="14"/>
  <c r="Q595" i="14"/>
  <c r="P595" i="14"/>
  <c r="O595" i="14"/>
  <c r="N595" i="14"/>
  <c r="L595" i="14"/>
  <c r="K595" i="14"/>
  <c r="J595" i="14"/>
  <c r="B595" i="14"/>
  <c r="R594" i="14"/>
  <c r="Q594" i="14"/>
  <c r="P594" i="14"/>
  <c r="O594" i="14"/>
  <c r="N594" i="14"/>
  <c r="L594" i="14"/>
  <c r="K594" i="14"/>
  <c r="J594" i="14"/>
  <c r="B594" i="14"/>
  <c r="R593" i="14"/>
  <c r="Q593" i="14"/>
  <c r="P593" i="14"/>
  <c r="O593" i="14"/>
  <c r="N593" i="14"/>
  <c r="L593" i="14"/>
  <c r="K593" i="14"/>
  <c r="J593" i="14"/>
  <c r="B593" i="14"/>
  <c r="R592" i="14"/>
  <c r="Q592" i="14"/>
  <c r="P592" i="14"/>
  <c r="O592" i="14"/>
  <c r="N592" i="14"/>
  <c r="L592" i="14"/>
  <c r="K592" i="14"/>
  <c r="J592" i="14"/>
  <c r="B592" i="14"/>
  <c r="R591" i="14"/>
  <c r="Q591" i="14"/>
  <c r="P591" i="14"/>
  <c r="O591" i="14"/>
  <c r="N591" i="14"/>
  <c r="L591" i="14"/>
  <c r="K591" i="14"/>
  <c r="J591" i="14"/>
  <c r="B591" i="14"/>
  <c r="R590" i="14"/>
  <c r="Q590" i="14"/>
  <c r="P590" i="14"/>
  <c r="O590" i="14"/>
  <c r="N590" i="14"/>
  <c r="L590" i="14"/>
  <c r="K590" i="14"/>
  <c r="J590" i="14"/>
  <c r="B590" i="14"/>
  <c r="R589" i="14"/>
  <c r="Q589" i="14"/>
  <c r="P589" i="14"/>
  <c r="O589" i="14"/>
  <c r="N589" i="14"/>
  <c r="L589" i="14"/>
  <c r="K589" i="14"/>
  <c r="J589" i="14"/>
  <c r="B589" i="14"/>
  <c r="R588" i="14"/>
  <c r="Q588" i="14"/>
  <c r="P588" i="14"/>
  <c r="O588" i="14"/>
  <c r="N588" i="14"/>
  <c r="L588" i="14"/>
  <c r="K588" i="14"/>
  <c r="J588" i="14"/>
  <c r="B588" i="14"/>
  <c r="R587" i="14"/>
  <c r="Q587" i="14"/>
  <c r="P587" i="14"/>
  <c r="O587" i="14"/>
  <c r="N587" i="14"/>
  <c r="L587" i="14"/>
  <c r="K587" i="14"/>
  <c r="J587" i="14"/>
  <c r="B587" i="14"/>
  <c r="R586" i="14"/>
  <c r="Q586" i="14"/>
  <c r="P586" i="14"/>
  <c r="O586" i="14"/>
  <c r="N586" i="14"/>
  <c r="L586" i="14"/>
  <c r="K586" i="14"/>
  <c r="J586" i="14"/>
  <c r="B586" i="14"/>
  <c r="R585" i="14"/>
  <c r="Q585" i="14"/>
  <c r="P585" i="14"/>
  <c r="O585" i="14"/>
  <c r="N585" i="14"/>
  <c r="L585" i="14"/>
  <c r="K585" i="14"/>
  <c r="J585" i="14"/>
  <c r="B585" i="14"/>
  <c r="R584" i="14"/>
  <c r="Q584" i="14"/>
  <c r="P584" i="14"/>
  <c r="O584" i="14"/>
  <c r="N584" i="14"/>
  <c r="L584" i="14"/>
  <c r="K584" i="14"/>
  <c r="J584" i="14"/>
  <c r="B584" i="14"/>
  <c r="R583" i="14"/>
  <c r="Q583" i="14"/>
  <c r="P583" i="14"/>
  <c r="O583" i="14"/>
  <c r="N583" i="14"/>
  <c r="L583" i="14"/>
  <c r="K583" i="14"/>
  <c r="J583" i="14"/>
  <c r="B583" i="14"/>
  <c r="R582" i="14"/>
  <c r="Q582" i="14"/>
  <c r="P582" i="14"/>
  <c r="O582" i="14"/>
  <c r="N582" i="14"/>
  <c r="L582" i="14"/>
  <c r="K582" i="14"/>
  <c r="J582" i="14"/>
  <c r="B582" i="14"/>
  <c r="R581" i="14"/>
  <c r="Q581" i="14"/>
  <c r="P581" i="14"/>
  <c r="O581" i="14"/>
  <c r="N581" i="14"/>
  <c r="L581" i="14"/>
  <c r="K581" i="14"/>
  <c r="J581" i="14"/>
  <c r="B581" i="14"/>
  <c r="R580" i="14"/>
  <c r="Q580" i="14"/>
  <c r="P580" i="14"/>
  <c r="O580" i="14"/>
  <c r="N580" i="14"/>
  <c r="L580" i="14"/>
  <c r="K580" i="14"/>
  <c r="J580" i="14"/>
  <c r="B580" i="14"/>
  <c r="R579" i="14"/>
  <c r="Q579" i="14"/>
  <c r="P579" i="14"/>
  <c r="O579" i="14"/>
  <c r="N579" i="14"/>
  <c r="L579" i="14"/>
  <c r="K579" i="14"/>
  <c r="J579" i="14"/>
  <c r="B579" i="14"/>
  <c r="R578" i="14"/>
  <c r="Q578" i="14"/>
  <c r="P578" i="14"/>
  <c r="O578" i="14"/>
  <c r="N578" i="14"/>
  <c r="L578" i="14"/>
  <c r="K578" i="14"/>
  <c r="J578" i="14"/>
  <c r="B578" i="14"/>
  <c r="R577" i="14"/>
  <c r="Q577" i="14"/>
  <c r="P577" i="14"/>
  <c r="O577" i="14"/>
  <c r="N577" i="14"/>
  <c r="L577" i="14"/>
  <c r="K577" i="14"/>
  <c r="J577" i="14"/>
  <c r="B577" i="14"/>
  <c r="R576" i="14"/>
  <c r="Q576" i="14"/>
  <c r="P576" i="14"/>
  <c r="O576" i="14"/>
  <c r="N576" i="14"/>
  <c r="L576" i="14"/>
  <c r="K576" i="14"/>
  <c r="J576" i="14"/>
  <c r="B576" i="14"/>
  <c r="R575" i="14"/>
  <c r="Q575" i="14"/>
  <c r="P575" i="14"/>
  <c r="O575" i="14"/>
  <c r="N575" i="14"/>
  <c r="L575" i="14"/>
  <c r="K575" i="14"/>
  <c r="J575" i="14"/>
  <c r="B575" i="14"/>
  <c r="R574" i="14"/>
  <c r="Q574" i="14"/>
  <c r="P574" i="14"/>
  <c r="O574" i="14"/>
  <c r="N574" i="14"/>
  <c r="L574" i="14"/>
  <c r="K574" i="14"/>
  <c r="J574" i="14"/>
  <c r="B574" i="14"/>
  <c r="R573" i="14"/>
  <c r="Q573" i="14"/>
  <c r="P573" i="14"/>
  <c r="O573" i="14"/>
  <c r="N573" i="14"/>
  <c r="L573" i="14"/>
  <c r="K573" i="14"/>
  <c r="J573" i="14"/>
  <c r="B573" i="14"/>
  <c r="R572" i="14"/>
  <c r="Q572" i="14"/>
  <c r="P572" i="14"/>
  <c r="O572" i="14"/>
  <c r="N572" i="14"/>
  <c r="L572" i="14"/>
  <c r="K572" i="14"/>
  <c r="J572" i="14"/>
  <c r="B572" i="14"/>
  <c r="R571" i="14"/>
  <c r="Q571" i="14"/>
  <c r="P571" i="14"/>
  <c r="O571" i="14"/>
  <c r="N571" i="14"/>
  <c r="L571" i="14"/>
  <c r="K571" i="14"/>
  <c r="J571" i="14"/>
  <c r="B571" i="14"/>
  <c r="R570" i="14"/>
  <c r="Q570" i="14"/>
  <c r="P570" i="14"/>
  <c r="O570" i="14"/>
  <c r="N570" i="14"/>
  <c r="L570" i="14"/>
  <c r="K570" i="14"/>
  <c r="J570" i="14"/>
  <c r="B570" i="14"/>
  <c r="R569" i="14"/>
  <c r="Q569" i="14"/>
  <c r="P569" i="14"/>
  <c r="O569" i="14"/>
  <c r="N569" i="14"/>
  <c r="L569" i="14"/>
  <c r="K569" i="14"/>
  <c r="J569" i="14"/>
  <c r="B569" i="14"/>
  <c r="R568" i="14"/>
  <c r="Q568" i="14"/>
  <c r="P568" i="14"/>
  <c r="O568" i="14"/>
  <c r="N568" i="14"/>
  <c r="L568" i="14"/>
  <c r="K568" i="14"/>
  <c r="J568" i="14"/>
  <c r="B568" i="14"/>
  <c r="R567" i="14"/>
  <c r="Q567" i="14"/>
  <c r="P567" i="14"/>
  <c r="O567" i="14"/>
  <c r="N567" i="14"/>
  <c r="L567" i="14"/>
  <c r="K567" i="14"/>
  <c r="J567" i="14"/>
  <c r="B567" i="14"/>
  <c r="R566" i="14"/>
  <c r="Q566" i="14"/>
  <c r="P566" i="14"/>
  <c r="O566" i="14"/>
  <c r="N566" i="14"/>
  <c r="L566" i="14"/>
  <c r="K566" i="14"/>
  <c r="J566" i="14"/>
  <c r="B566" i="14"/>
  <c r="R565" i="14"/>
  <c r="Q565" i="14"/>
  <c r="P565" i="14"/>
  <c r="O565" i="14"/>
  <c r="N565" i="14"/>
  <c r="L565" i="14"/>
  <c r="K565" i="14"/>
  <c r="J565" i="14"/>
  <c r="B565" i="14"/>
  <c r="R564" i="14"/>
  <c r="Q564" i="14"/>
  <c r="P564" i="14"/>
  <c r="O564" i="14"/>
  <c r="N564" i="14"/>
  <c r="L564" i="14"/>
  <c r="K564" i="14"/>
  <c r="J564" i="14"/>
  <c r="B564" i="14"/>
  <c r="R563" i="14"/>
  <c r="Q563" i="14"/>
  <c r="P563" i="14"/>
  <c r="O563" i="14"/>
  <c r="N563" i="14"/>
  <c r="L563" i="14"/>
  <c r="K563" i="14"/>
  <c r="J563" i="14"/>
  <c r="B563" i="14"/>
  <c r="R562" i="14"/>
  <c r="Q562" i="14"/>
  <c r="P562" i="14"/>
  <c r="O562" i="14"/>
  <c r="N562" i="14"/>
  <c r="L562" i="14"/>
  <c r="K562" i="14"/>
  <c r="J562" i="14"/>
  <c r="B562" i="14"/>
  <c r="R561" i="14"/>
  <c r="Q561" i="14"/>
  <c r="P561" i="14"/>
  <c r="O561" i="14"/>
  <c r="N561" i="14"/>
  <c r="L561" i="14"/>
  <c r="K561" i="14"/>
  <c r="J561" i="14"/>
  <c r="B561" i="14"/>
  <c r="R560" i="14"/>
  <c r="Q560" i="14"/>
  <c r="P560" i="14"/>
  <c r="O560" i="14"/>
  <c r="N560" i="14"/>
  <c r="L560" i="14"/>
  <c r="K560" i="14"/>
  <c r="J560" i="14"/>
  <c r="B560" i="14"/>
  <c r="R559" i="14"/>
  <c r="Q559" i="14"/>
  <c r="P559" i="14"/>
  <c r="O559" i="14"/>
  <c r="N559" i="14"/>
  <c r="L559" i="14"/>
  <c r="K559" i="14"/>
  <c r="J559" i="14"/>
  <c r="B559" i="14"/>
  <c r="R558" i="14"/>
  <c r="Q558" i="14"/>
  <c r="P558" i="14"/>
  <c r="O558" i="14"/>
  <c r="N558" i="14"/>
  <c r="L558" i="14"/>
  <c r="K558" i="14"/>
  <c r="J558" i="14"/>
  <c r="B558" i="14"/>
  <c r="R557" i="14"/>
  <c r="Q557" i="14"/>
  <c r="P557" i="14"/>
  <c r="O557" i="14"/>
  <c r="N557" i="14"/>
  <c r="L557" i="14"/>
  <c r="K557" i="14"/>
  <c r="J557" i="14"/>
  <c r="B557" i="14"/>
  <c r="R556" i="14"/>
  <c r="Q556" i="14"/>
  <c r="P556" i="14"/>
  <c r="O556" i="14"/>
  <c r="N556" i="14"/>
  <c r="L556" i="14"/>
  <c r="K556" i="14"/>
  <c r="J556" i="14"/>
  <c r="B556" i="14"/>
  <c r="R555" i="14"/>
  <c r="Q555" i="14"/>
  <c r="P555" i="14"/>
  <c r="O555" i="14"/>
  <c r="N555" i="14"/>
  <c r="L555" i="14"/>
  <c r="K555" i="14"/>
  <c r="J555" i="14"/>
  <c r="B555" i="14"/>
  <c r="R554" i="14"/>
  <c r="Q554" i="14"/>
  <c r="P554" i="14"/>
  <c r="O554" i="14"/>
  <c r="N554" i="14"/>
  <c r="L554" i="14"/>
  <c r="K554" i="14"/>
  <c r="J554" i="14"/>
  <c r="B554" i="14"/>
  <c r="R553" i="14"/>
  <c r="Q553" i="14"/>
  <c r="P553" i="14"/>
  <c r="O553" i="14"/>
  <c r="N553" i="14"/>
  <c r="L553" i="14"/>
  <c r="K553" i="14"/>
  <c r="J553" i="14"/>
  <c r="B553" i="14"/>
  <c r="R552" i="14"/>
  <c r="Q552" i="14"/>
  <c r="P552" i="14"/>
  <c r="O552" i="14"/>
  <c r="N552" i="14"/>
  <c r="L552" i="14"/>
  <c r="K552" i="14"/>
  <c r="J552" i="14"/>
  <c r="B552" i="14"/>
  <c r="R551" i="14"/>
  <c r="Q551" i="14"/>
  <c r="P551" i="14"/>
  <c r="O551" i="14"/>
  <c r="N551" i="14"/>
  <c r="L551" i="14"/>
  <c r="K551" i="14"/>
  <c r="J551" i="14"/>
  <c r="B551" i="14"/>
  <c r="R550" i="14"/>
  <c r="Q550" i="14"/>
  <c r="P550" i="14"/>
  <c r="O550" i="14"/>
  <c r="N550" i="14"/>
  <c r="L550" i="14"/>
  <c r="K550" i="14"/>
  <c r="J550" i="14"/>
  <c r="B550" i="14"/>
  <c r="R549" i="14"/>
  <c r="Q549" i="14"/>
  <c r="P549" i="14"/>
  <c r="O549" i="14"/>
  <c r="N549" i="14"/>
  <c r="L549" i="14"/>
  <c r="K549" i="14"/>
  <c r="J549" i="14"/>
  <c r="B549" i="14"/>
  <c r="R548" i="14"/>
  <c r="Q548" i="14"/>
  <c r="P548" i="14"/>
  <c r="O548" i="14"/>
  <c r="N548" i="14"/>
  <c r="L548" i="14"/>
  <c r="K548" i="14"/>
  <c r="J548" i="14"/>
  <c r="B548" i="14"/>
  <c r="R547" i="14"/>
  <c r="Q547" i="14"/>
  <c r="P547" i="14"/>
  <c r="O547" i="14"/>
  <c r="N547" i="14"/>
  <c r="L547" i="14"/>
  <c r="K547" i="14"/>
  <c r="J547" i="14"/>
  <c r="B547" i="14"/>
  <c r="R546" i="14"/>
  <c r="Q546" i="14"/>
  <c r="P546" i="14"/>
  <c r="O546" i="14"/>
  <c r="N546" i="14"/>
  <c r="L546" i="14"/>
  <c r="K546" i="14"/>
  <c r="J546" i="14"/>
  <c r="B546" i="14"/>
  <c r="R545" i="14"/>
  <c r="Q545" i="14"/>
  <c r="P545" i="14"/>
  <c r="O545" i="14"/>
  <c r="N545" i="14"/>
  <c r="L545" i="14"/>
  <c r="K545" i="14"/>
  <c r="J545" i="14"/>
  <c r="B545" i="14"/>
  <c r="R544" i="14"/>
  <c r="Q544" i="14"/>
  <c r="P544" i="14"/>
  <c r="O544" i="14"/>
  <c r="N544" i="14"/>
  <c r="L544" i="14"/>
  <c r="K544" i="14"/>
  <c r="J544" i="14"/>
  <c r="B544" i="14"/>
  <c r="R543" i="14"/>
  <c r="Q543" i="14"/>
  <c r="P543" i="14"/>
  <c r="O543" i="14"/>
  <c r="N543" i="14"/>
  <c r="L543" i="14"/>
  <c r="K543" i="14"/>
  <c r="J543" i="14"/>
  <c r="B543" i="14"/>
  <c r="R542" i="14"/>
  <c r="Q542" i="14"/>
  <c r="P542" i="14"/>
  <c r="O542" i="14"/>
  <c r="N542" i="14"/>
  <c r="L542" i="14"/>
  <c r="K542" i="14"/>
  <c r="J542" i="14"/>
  <c r="B542" i="14"/>
  <c r="R541" i="14"/>
  <c r="Q541" i="14"/>
  <c r="P541" i="14"/>
  <c r="O541" i="14"/>
  <c r="N541" i="14"/>
  <c r="L541" i="14"/>
  <c r="K541" i="14"/>
  <c r="J541" i="14"/>
  <c r="B541" i="14"/>
  <c r="R540" i="14"/>
  <c r="Q540" i="14"/>
  <c r="P540" i="14"/>
  <c r="O540" i="14"/>
  <c r="N540" i="14"/>
  <c r="L540" i="14"/>
  <c r="K540" i="14"/>
  <c r="J540" i="14"/>
  <c r="B540" i="14"/>
  <c r="R539" i="14"/>
  <c r="Q539" i="14"/>
  <c r="P539" i="14"/>
  <c r="O539" i="14"/>
  <c r="N539" i="14"/>
  <c r="L539" i="14"/>
  <c r="K539" i="14"/>
  <c r="J539" i="14"/>
  <c r="B539" i="14"/>
  <c r="R538" i="14"/>
  <c r="Q538" i="14"/>
  <c r="P538" i="14"/>
  <c r="O538" i="14"/>
  <c r="N538" i="14"/>
  <c r="L538" i="14"/>
  <c r="K538" i="14"/>
  <c r="J538" i="14"/>
  <c r="B538" i="14"/>
  <c r="R537" i="14"/>
  <c r="Q537" i="14"/>
  <c r="P537" i="14"/>
  <c r="O537" i="14"/>
  <c r="N537" i="14"/>
  <c r="L537" i="14"/>
  <c r="K537" i="14"/>
  <c r="J537" i="14"/>
  <c r="B537" i="14"/>
  <c r="R536" i="14"/>
  <c r="Q536" i="14"/>
  <c r="P536" i="14"/>
  <c r="O536" i="14"/>
  <c r="N536" i="14"/>
  <c r="L536" i="14"/>
  <c r="K536" i="14"/>
  <c r="J536" i="14"/>
  <c r="B536" i="14"/>
  <c r="R535" i="14"/>
  <c r="Q535" i="14"/>
  <c r="P535" i="14"/>
  <c r="O535" i="14"/>
  <c r="N535" i="14"/>
  <c r="L535" i="14"/>
  <c r="K535" i="14"/>
  <c r="J535" i="14"/>
  <c r="B535" i="14"/>
  <c r="R534" i="14"/>
  <c r="Q534" i="14"/>
  <c r="P534" i="14"/>
  <c r="O534" i="14"/>
  <c r="N534" i="14"/>
  <c r="L534" i="14"/>
  <c r="K534" i="14"/>
  <c r="J534" i="14"/>
  <c r="B534" i="14"/>
  <c r="R533" i="14"/>
  <c r="Q533" i="14"/>
  <c r="P533" i="14"/>
  <c r="O533" i="14"/>
  <c r="N533" i="14"/>
  <c r="L533" i="14"/>
  <c r="K533" i="14"/>
  <c r="J533" i="14"/>
  <c r="B533" i="14"/>
  <c r="R532" i="14"/>
  <c r="Q532" i="14"/>
  <c r="P532" i="14"/>
  <c r="O532" i="14"/>
  <c r="N532" i="14"/>
  <c r="L532" i="14"/>
  <c r="K532" i="14"/>
  <c r="J532" i="14"/>
  <c r="B532" i="14"/>
  <c r="R531" i="14"/>
  <c r="Q531" i="14"/>
  <c r="P531" i="14"/>
  <c r="O531" i="14"/>
  <c r="N531" i="14"/>
  <c r="L531" i="14"/>
  <c r="K531" i="14"/>
  <c r="J531" i="14"/>
  <c r="B531" i="14"/>
  <c r="R530" i="14"/>
  <c r="Q530" i="14"/>
  <c r="P530" i="14"/>
  <c r="O530" i="14"/>
  <c r="N530" i="14"/>
  <c r="L530" i="14"/>
  <c r="K530" i="14"/>
  <c r="J530" i="14"/>
  <c r="B530" i="14"/>
  <c r="R529" i="14"/>
  <c r="Q529" i="14"/>
  <c r="P529" i="14"/>
  <c r="O529" i="14"/>
  <c r="N529" i="14"/>
  <c r="L529" i="14"/>
  <c r="K529" i="14"/>
  <c r="J529" i="14"/>
  <c r="B529" i="14"/>
  <c r="R528" i="14"/>
  <c r="Q528" i="14"/>
  <c r="P528" i="14"/>
  <c r="O528" i="14"/>
  <c r="N528" i="14"/>
  <c r="L528" i="14"/>
  <c r="K528" i="14"/>
  <c r="J528" i="14"/>
  <c r="B528" i="14"/>
  <c r="R527" i="14"/>
  <c r="Q527" i="14"/>
  <c r="P527" i="14"/>
  <c r="O527" i="14"/>
  <c r="N527" i="14"/>
  <c r="L527" i="14"/>
  <c r="K527" i="14"/>
  <c r="J527" i="14"/>
  <c r="B527" i="14"/>
  <c r="R526" i="14"/>
  <c r="Q526" i="14"/>
  <c r="P526" i="14"/>
  <c r="O526" i="14"/>
  <c r="N526" i="14"/>
  <c r="L526" i="14"/>
  <c r="K526" i="14"/>
  <c r="J526" i="14"/>
  <c r="B526" i="14"/>
  <c r="R525" i="14"/>
  <c r="Q525" i="14"/>
  <c r="P525" i="14"/>
  <c r="O525" i="14"/>
  <c r="N525" i="14"/>
  <c r="L525" i="14"/>
  <c r="K525" i="14"/>
  <c r="J525" i="14"/>
  <c r="B525" i="14"/>
  <c r="R524" i="14"/>
  <c r="Q524" i="14"/>
  <c r="P524" i="14"/>
  <c r="O524" i="14"/>
  <c r="N524" i="14"/>
  <c r="L524" i="14"/>
  <c r="K524" i="14"/>
  <c r="J524" i="14"/>
  <c r="B524" i="14"/>
  <c r="R523" i="14"/>
  <c r="Q523" i="14"/>
  <c r="P523" i="14"/>
  <c r="O523" i="14"/>
  <c r="N523" i="14"/>
  <c r="L523" i="14"/>
  <c r="K523" i="14"/>
  <c r="J523" i="14"/>
  <c r="B523" i="14"/>
  <c r="R522" i="14"/>
  <c r="Q522" i="14"/>
  <c r="P522" i="14"/>
  <c r="O522" i="14"/>
  <c r="N522" i="14"/>
  <c r="L522" i="14"/>
  <c r="K522" i="14"/>
  <c r="J522" i="14"/>
  <c r="B522" i="14"/>
  <c r="R521" i="14"/>
  <c r="Q521" i="14"/>
  <c r="P521" i="14"/>
  <c r="O521" i="14"/>
  <c r="N521" i="14"/>
  <c r="L521" i="14"/>
  <c r="K521" i="14"/>
  <c r="J521" i="14"/>
  <c r="B521" i="14"/>
  <c r="R520" i="14"/>
  <c r="Q520" i="14"/>
  <c r="P520" i="14"/>
  <c r="O520" i="14"/>
  <c r="N520" i="14"/>
  <c r="L520" i="14"/>
  <c r="K520" i="14"/>
  <c r="J520" i="14"/>
  <c r="B520" i="14"/>
  <c r="R519" i="14"/>
  <c r="Q519" i="14"/>
  <c r="P519" i="14"/>
  <c r="O519" i="14"/>
  <c r="N519" i="14"/>
  <c r="L519" i="14"/>
  <c r="K519" i="14"/>
  <c r="J519" i="14"/>
  <c r="B519" i="14"/>
  <c r="R518" i="14"/>
  <c r="Q518" i="14"/>
  <c r="P518" i="14"/>
  <c r="O518" i="14"/>
  <c r="N518" i="14"/>
  <c r="L518" i="14"/>
  <c r="K518" i="14"/>
  <c r="J518" i="14"/>
  <c r="B518" i="14"/>
  <c r="R517" i="14"/>
  <c r="Q517" i="14"/>
  <c r="P517" i="14"/>
  <c r="O517" i="14"/>
  <c r="N517" i="14"/>
  <c r="L517" i="14"/>
  <c r="K517" i="14"/>
  <c r="J517" i="14"/>
  <c r="B517" i="14"/>
  <c r="R516" i="14"/>
  <c r="Q516" i="14"/>
  <c r="P516" i="14"/>
  <c r="O516" i="14"/>
  <c r="N516" i="14"/>
  <c r="L516" i="14"/>
  <c r="K516" i="14"/>
  <c r="J516" i="14"/>
  <c r="B516" i="14"/>
  <c r="R515" i="14"/>
  <c r="Q515" i="14"/>
  <c r="P515" i="14"/>
  <c r="O515" i="14"/>
  <c r="N515" i="14"/>
  <c r="L515" i="14"/>
  <c r="K515" i="14"/>
  <c r="J515" i="14"/>
  <c r="B515" i="14"/>
  <c r="R514" i="14"/>
  <c r="Q514" i="14"/>
  <c r="P514" i="14"/>
  <c r="O514" i="14"/>
  <c r="N514" i="14"/>
  <c r="L514" i="14"/>
  <c r="K514" i="14"/>
  <c r="J514" i="14"/>
  <c r="B514" i="14"/>
  <c r="R513" i="14"/>
  <c r="Q513" i="14"/>
  <c r="P513" i="14"/>
  <c r="O513" i="14"/>
  <c r="N513" i="14"/>
  <c r="L513" i="14"/>
  <c r="K513" i="14"/>
  <c r="J513" i="14"/>
  <c r="B513" i="14"/>
  <c r="R512" i="14"/>
  <c r="Q512" i="14"/>
  <c r="P512" i="14"/>
  <c r="O512" i="14"/>
  <c r="N512" i="14"/>
  <c r="L512" i="14"/>
  <c r="K512" i="14"/>
  <c r="J512" i="14"/>
  <c r="B512" i="14"/>
  <c r="R511" i="14"/>
  <c r="Q511" i="14"/>
  <c r="P511" i="14"/>
  <c r="O511" i="14"/>
  <c r="N511" i="14"/>
  <c r="L511" i="14"/>
  <c r="K511" i="14"/>
  <c r="J511" i="14"/>
  <c r="B511" i="14"/>
  <c r="R510" i="14"/>
  <c r="Q510" i="14"/>
  <c r="P510" i="14"/>
  <c r="O510" i="14"/>
  <c r="N510" i="14"/>
  <c r="L510" i="14"/>
  <c r="K510" i="14"/>
  <c r="J510" i="14"/>
  <c r="B510" i="14"/>
  <c r="R509" i="14"/>
  <c r="Q509" i="14"/>
  <c r="P509" i="14"/>
  <c r="O509" i="14"/>
  <c r="N509" i="14"/>
  <c r="L509" i="14"/>
  <c r="K509" i="14"/>
  <c r="J509" i="14"/>
  <c r="B509" i="14"/>
  <c r="R508" i="14"/>
  <c r="Q508" i="14"/>
  <c r="P508" i="14"/>
  <c r="O508" i="14"/>
  <c r="N508" i="14"/>
  <c r="L508" i="14"/>
  <c r="K508" i="14"/>
  <c r="J508" i="14"/>
  <c r="B508" i="14"/>
  <c r="R507" i="14"/>
  <c r="Q507" i="14"/>
  <c r="P507" i="14"/>
  <c r="O507" i="14"/>
  <c r="N507" i="14"/>
  <c r="L507" i="14"/>
  <c r="K507" i="14"/>
  <c r="J507" i="14"/>
  <c r="B507" i="14"/>
  <c r="R506" i="14"/>
  <c r="Q506" i="14"/>
  <c r="P506" i="14"/>
  <c r="O506" i="14"/>
  <c r="N506" i="14"/>
  <c r="L506" i="14"/>
  <c r="K506" i="14"/>
  <c r="J506" i="14"/>
  <c r="B506" i="14"/>
  <c r="R505" i="14"/>
  <c r="Q505" i="14"/>
  <c r="P505" i="14"/>
  <c r="O505" i="14"/>
  <c r="N505" i="14"/>
  <c r="L505" i="14"/>
  <c r="K505" i="14"/>
  <c r="J505" i="14"/>
  <c r="B505" i="14"/>
  <c r="R504" i="14"/>
  <c r="Q504" i="14"/>
  <c r="P504" i="14"/>
  <c r="O504" i="14"/>
  <c r="N504" i="14"/>
  <c r="L504" i="14"/>
  <c r="K504" i="14"/>
  <c r="J504" i="14"/>
  <c r="B504" i="14"/>
  <c r="R503" i="14"/>
  <c r="Q503" i="14"/>
  <c r="P503" i="14"/>
  <c r="O503" i="14"/>
  <c r="N503" i="14"/>
  <c r="L503" i="14"/>
  <c r="K503" i="14"/>
  <c r="J503" i="14"/>
  <c r="B503" i="14"/>
  <c r="R502" i="14"/>
  <c r="Q502" i="14"/>
  <c r="P502" i="14"/>
  <c r="O502" i="14"/>
  <c r="N502" i="14"/>
  <c r="L502" i="14"/>
  <c r="K502" i="14"/>
  <c r="J502" i="14"/>
  <c r="B502" i="14"/>
  <c r="R501" i="14"/>
  <c r="Q501" i="14"/>
  <c r="P501" i="14"/>
  <c r="O501" i="14"/>
  <c r="N501" i="14"/>
  <c r="L501" i="14"/>
  <c r="K501" i="14"/>
  <c r="J501" i="14"/>
  <c r="B501" i="14"/>
  <c r="R500" i="14"/>
  <c r="Q500" i="14"/>
  <c r="P500" i="14"/>
  <c r="O500" i="14"/>
  <c r="N500" i="14"/>
  <c r="L500" i="14"/>
  <c r="K500" i="14"/>
  <c r="J500" i="14"/>
  <c r="B500" i="14"/>
  <c r="R499" i="14"/>
  <c r="Q499" i="14"/>
  <c r="P499" i="14"/>
  <c r="O499" i="14"/>
  <c r="N499" i="14"/>
  <c r="L499" i="14"/>
  <c r="K499" i="14"/>
  <c r="J499" i="14"/>
  <c r="B499" i="14"/>
  <c r="R498" i="14"/>
  <c r="Q498" i="14"/>
  <c r="P498" i="14"/>
  <c r="O498" i="14"/>
  <c r="N498" i="14"/>
  <c r="L498" i="14"/>
  <c r="K498" i="14"/>
  <c r="J498" i="14"/>
  <c r="B498" i="14"/>
  <c r="R497" i="14"/>
  <c r="Q497" i="14"/>
  <c r="P497" i="14"/>
  <c r="O497" i="14"/>
  <c r="N497" i="14"/>
  <c r="L497" i="14"/>
  <c r="K497" i="14"/>
  <c r="J497" i="14"/>
  <c r="B497" i="14"/>
  <c r="R496" i="14"/>
  <c r="Q496" i="14"/>
  <c r="P496" i="14"/>
  <c r="O496" i="14"/>
  <c r="N496" i="14"/>
  <c r="L496" i="14"/>
  <c r="K496" i="14"/>
  <c r="J496" i="14"/>
  <c r="B496" i="14"/>
  <c r="R495" i="14"/>
  <c r="Q495" i="14"/>
  <c r="P495" i="14"/>
  <c r="O495" i="14"/>
  <c r="N495" i="14"/>
  <c r="L495" i="14"/>
  <c r="K495" i="14"/>
  <c r="J495" i="14"/>
  <c r="B495" i="14"/>
  <c r="R494" i="14"/>
  <c r="Q494" i="14"/>
  <c r="P494" i="14"/>
  <c r="O494" i="14"/>
  <c r="N494" i="14"/>
  <c r="L494" i="14"/>
  <c r="K494" i="14"/>
  <c r="J494" i="14"/>
  <c r="B494" i="14"/>
  <c r="R493" i="14"/>
  <c r="Q493" i="14"/>
  <c r="P493" i="14"/>
  <c r="O493" i="14"/>
  <c r="N493" i="14"/>
  <c r="L493" i="14"/>
  <c r="K493" i="14"/>
  <c r="J493" i="14"/>
  <c r="B493" i="14"/>
  <c r="R492" i="14"/>
  <c r="Q492" i="14"/>
  <c r="P492" i="14"/>
  <c r="O492" i="14"/>
  <c r="N492" i="14"/>
  <c r="L492" i="14"/>
  <c r="K492" i="14"/>
  <c r="J492" i="14"/>
  <c r="B492" i="14"/>
  <c r="R491" i="14"/>
  <c r="Q491" i="14"/>
  <c r="P491" i="14"/>
  <c r="O491" i="14"/>
  <c r="N491" i="14"/>
  <c r="L491" i="14"/>
  <c r="K491" i="14"/>
  <c r="J491" i="14"/>
  <c r="B491" i="14"/>
  <c r="R490" i="14"/>
  <c r="Q490" i="14"/>
  <c r="P490" i="14"/>
  <c r="O490" i="14"/>
  <c r="N490" i="14"/>
  <c r="L490" i="14"/>
  <c r="K490" i="14"/>
  <c r="J490" i="14"/>
  <c r="B490" i="14"/>
  <c r="R489" i="14"/>
  <c r="Q489" i="14"/>
  <c r="P489" i="14"/>
  <c r="O489" i="14"/>
  <c r="N489" i="14"/>
  <c r="L489" i="14"/>
  <c r="K489" i="14"/>
  <c r="J489" i="14"/>
  <c r="B489" i="14"/>
  <c r="R488" i="14"/>
  <c r="Q488" i="14"/>
  <c r="P488" i="14"/>
  <c r="O488" i="14"/>
  <c r="N488" i="14"/>
  <c r="L488" i="14"/>
  <c r="K488" i="14"/>
  <c r="J488" i="14"/>
  <c r="B488" i="14"/>
  <c r="R487" i="14"/>
  <c r="Q487" i="14"/>
  <c r="P487" i="14"/>
  <c r="O487" i="14"/>
  <c r="N487" i="14"/>
  <c r="L487" i="14"/>
  <c r="K487" i="14"/>
  <c r="J487" i="14"/>
  <c r="B487" i="14"/>
  <c r="R486" i="14"/>
  <c r="Q486" i="14"/>
  <c r="P486" i="14"/>
  <c r="O486" i="14"/>
  <c r="N486" i="14"/>
  <c r="L486" i="14"/>
  <c r="K486" i="14"/>
  <c r="J486" i="14"/>
  <c r="B486" i="14"/>
  <c r="R485" i="14"/>
  <c r="Q485" i="14"/>
  <c r="P485" i="14"/>
  <c r="O485" i="14"/>
  <c r="N485" i="14"/>
  <c r="L485" i="14"/>
  <c r="K485" i="14"/>
  <c r="J485" i="14"/>
  <c r="B485" i="14"/>
  <c r="R484" i="14"/>
  <c r="Q484" i="14"/>
  <c r="P484" i="14"/>
  <c r="O484" i="14"/>
  <c r="N484" i="14"/>
  <c r="L484" i="14"/>
  <c r="K484" i="14"/>
  <c r="J484" i="14"/>
  <c r="B484" i="14"/>
  <c r="R483" i="14"/>
  <c r="Q483" i="14"/>
  <c r="P483" i="14"/>
  <c r="O483" i="14"/>
  <c r="N483" i="14"/>
  <c r="L483" i="14"/>
  <c r="K483" i="14"/>
  <c r="J483" i="14"/>
  <c r="B483" i="14"/>
  <c r="R482" i="14"/>
  <c r="Q482" i="14"/>
  <c r="P482" i="14"/>
  <c r="O482" i="14"/>
  <c r="N482" i="14"/>
  <c r="L482" i="14"/>
  <c r="K482" i="14"/>
  <c r="J482" i="14"/>
  <c r="B482" i="14"/>
  <c r="R481" i="14"/>
  <c r="Q481" i="14"/>
  <c r="P481" i="14"/>
  <c r="O481" i="14"/>
  <c r="N481" i="14"/>
  <c r="L481" i="14"/>
  <c r="K481" i="14"/>
  <c r="J481" i="14"/>
  <c r="B481" i="14"/>
  <c r="R480" i="14"/>
  <c r="Q480" i="14"/>
  <c r="P480" i="14"/>
  <c r="O480" i="14"/>
  <c r="N480" i="14"/>
  <c r="L480" i="14"/>
  <c r="K480" i="14"/>
  <c r="J480" i="14"/>
  <c r="B480" i="14"/>
  <c r="R479" i="14"/>
  <c r="Q479" i="14"/>
  <c r="P479" i="14"/>
  <c r="O479" i="14"/>
  <c r="N479" i="14"/>
  <c r="L479" i="14"/>
  <c r="K479" i="14"/>
  <c r="J479" i="14"/>
  <c r="B479" i="14"/>
  <c r="R478" i="14"/>
  <c r="Q478" i="14"/>
  <c r="P478" i="14"/>
  <c r="O478" i="14"/>
  <c r="N478" i="14"/>
  <c r="L478" i="14"/>
  <c r="K478" i="14"/>
  <c r="J478" i="14"/>
  <c r="B478" i="14"/>
  <c r="R477" i="14"/>
  <c r="Q477" i="14"/>
  <c r="P477" i="14"/>
  <c r="O477" i="14"/>
  <c r="N477" i="14"/>
  <c r="L477" i="14"/>
  <c r="K477" i="14"/>
  <c r="J477" i="14"/>
  <c r="B477" i="14"/>
  <c r="R476" i="14"/>
  <c r="Q476" i="14"/>
  <c r="P476" i="14"/>
  <c r="O476" i="14"/>
  <c r="N476" i="14"/>
  <c r="L476" i="14"/>
  <c r="K476" i="14"/>
  <c r="J476" i="14"/>
  <c r="B476" i="14"/>
  <c r="R475" i="14"/>
  <c r="Q475" i="14"/>
  <c r="P475" i="14"/>
  <c r="O475" i="14"/>
  <c r="N475" i="14"/>
  <c r="L475" i="14"/>
  <c r="K475" i="14"/>
  <c r="J475" i="14"/>
  <c r="B475" i="14"/>
  <c r="R474" i="14"/>
  <c r="Q474" i="14"/>
  <c r="P474" i="14"/>
  <c r="O474" i="14"/>
  <c r="N474" i="14"/>
  <c r="L474" i="14"/>
  <c r="K474" i="14"/>
  <c r="J474" i="14"/>
  <c r="B474" i="14"/>
  <c r="R473" i="14"/>
  <c r="Q473" i="14"/>
  <c r="P473" i="14"/>
  <c r="O473" i="14"/>
  <c r="N473" i="14"/>
  <c r="L473" i="14"/>
  <c r="K473" i="14"/>
  <c r="J473" i="14"/>
  <c r="B473" i="14"/>
  <c r="R472" i="14"/>
  <c r="Q472" i="14"/>
  <c r="P472" i="14"/>
  <c r="O472" i="14"/>
  <c r="N472" i="14"/>
  <c r="L472" i="14"/>
  <c r="K472" i="14"/>
  <c r="J472" i="14"/>
  <c r="B472" i="14"/>
  <c r="R471" i="14"/>
  <c r="Q471" i="14"/>
  <c r="P471" i="14"/>
  <c r="O471" i="14"/>
  <c r="N471" i="14"/>
  <c r="L471" i="14"/>
  <c r="K471" i="14"/>
  <c r="J471" i="14"/>
  <c r="B471" i="14"/>
  <c r="R470" i="14"/>
  <c r="Q470" i="14"/>
  <c r="P470" i="14"/>
  <c r="O470" i="14"/>
  <c r="N470" i="14"/>
  <c r="L470" i="14"/>
  <c r="K470" i="14"/>
  <c r="J470" i="14"/>
  <c r="B470" i="14"/>
  <c r="R469" i="14"/>
  <c r="Q469" i="14"/>
  <c r="P469" i="14"/>
  <c r="O469" i="14"/>
  <c r="N469" i="14"/>
  <c r="L469" i="14"/>
  <c r="K469" i="14"/>
  <c r="J469" i="14"/>
  <c r="B469" i="14"/>
  <c r="R468" i="14"/>
  <c r="Q468" i="14"/>
  <c r="P468" i="14"/>
  <c r="O468" i="14"/>
  <c r="N468" i="14"/>
  <c r="L468" i="14"/>
  <c r="K468" i="14"/>
  <c r="J468" i="14"/>
  <c r="B468" i="14"/>
  <c r="R467" i="14"/>
  <c r="Q467" i="14"/>
  <c r="P467" i="14"/>
  <c r="O467" i="14"/>
  <c r="N467" i="14"/>
  <c r="L467" i="14"/>
  <c r="K467" i="14"/>
  <c r="J467" i="14"/>
  <c r="B467" i="14"/>
  <c r="R466" i="14"/>
  <c r="Q466" i="14"/>
  <c r="P466" i="14"/>
  <c r="O466" i="14"/>
  <c r="N466" i="14"/>
  <c r="L466" i="14"/>
  <c r="K466" i="14"/>
  <c r="J466" i="14"/>
  <c r="B466" i="14"/>
  <c r="R465" i="14"/>
  <c r="Q465" i="14"/>
  <c r="P465" i="14"/>
  <c r="O465" i="14"/>
  <c r="N465" i="14"/>
  <c r="L465" i="14"/>
  <c r="K465" i="14"/>
  <c r="J465" i="14"/>
  <c r="B465" i="14"/>
  <c r="R464" i="14"/>
  <c r="Q464" i="14"/>
  <c r="P464" i="14"/>
  <c r="O464" i="14"/>
  <c r="N464" i="14"/>
  <c r="L464" i="14"/>
  <c r="K464" i="14"/>
  <c r="J464" i="14"/>
  <c r="B464" i="14"/>
  <c r="R463" i="14"/>
  <c r="Q463" i="14"/>
  <c r="P463" i="14"/>
  <c r="O463" i="14"/>
  <c r="N463" i="14"/>
  <c r="L463" i="14"/>
  <c r="K463" i="14"/>
  <c r="J463" i="14"/>
  <c r="B463" i="14"/>
  <c r="R462" i="14"/>
  <c r="Q462" i="14"/>
  <c r="P462" i="14"/>
  <c r="O462" i="14"/>
  <c r="N462" i="14"/>
  <c r="L462" i="14"/>
  <c r="K462" i="14"/>
  <c r="J462" i="14"/>
  <c r="B462" i="14"/>
  <c r="R461" i="14"/>
  <c r="Q461" i="14"/>
  <c r="P461" i="14"/>
  <c r="O461" i="14"/>
  <c r="N461" i="14"/>
  <c r="L461" i="14"/>
  <c r="K461" i="14"/>
  <c r="J461" i="14"/>
  <c r="B461" i="14"/>
  <c r="R460" i="14"/>
  <c r="Q460" i="14"/>
  <c r="P460" i="14"/>
  <c r="O460" i="14"/>
  <c r="N460" i="14"/>
  <c r="L460" i="14"/>
  <c r="K460" i="14"/>
  <c r="J460" i="14"/>
  <c r="B460" i="14"/>
  <c r="R459" i="14"/>
  <c r="Q459" i="14"/>
  <c r="P459" i="14"/>
  <c r="O459" i="14"/>
  <c r="N459" i="14"/>
  <c r="L459" i="14"/>
  <c r="K459" i="14"/>
  <c r="J459" i="14"/>
  <c r="B459" i="14"/>
  <c r="R458" i="14"/>
  <c r="Q458" i="14"/>
  <c r="P458" i="14"/>
  <c r="O458" i="14"/>
  <c r="N458" i="14"/>
  <c r="L458" i="14"/>
  <c r="K458" i="14"/>
  <c r="J458" i="14"/>
  <c r="B458" i="14"/>
  <c r="R457" i="14"/>
  <c r="Q457" i="14"/>
  <c r="P457" i="14"/>
  <c r="O457" i="14"/>
  <c r="N457" i="14"/>
  <c r="L457" i="14"/>
  <c r="K457" i="14"/>
  <c r="J457" i="14"/>
  <c r="B457" i="14"/>
  <c r="R456" i="14"/>
  <c r="Q456" i="14"/>
  <c r="P456" i="14"/>
  <c r="O456" i="14"/>
  <c r="N456" i="14"/>
  <c r="L456" i="14"/>
  <c r="K456" i="14"/>
  <c r="J456" i="14"/>
  <c r="B456" i="14"/>
  <c r="R455" i="14"/>
  <c r="Q455" i="14"/>
  <c r="P455" i="14"/>
  <c r="O455" i="14"/>
  <c r="N455" i="14"/>
  <c r="L455" i="14"/>
  <c r="K455" i="14"/>
  <c r="J455" i="14"/>
  <c r="B455" i="14"/>
  <c r="R454" i="14"/>
  <c r="Q454" i="14"/>
  <c r="P454" i="14"/>
  <c r="O454" i="14"/>
  <c r="N454" i="14"/>
  <c r="L454" i="14"/>
  <c r="K454" i="14"/>
  <c r="J454" i="14"/>
  <c r="B454" i="14"/>
  <c r="R453" i="14"/>
  <c r="Q453" i="14"/>
  <c r="P453" i="14"/>
  <c r="O453" i="14"/>
  <c r="N453" i="14"/>
  <c r="L453" i="14"/>
  <c r="K453" i="14"/>
  <c r="J453" i="14"/>
  <c r="B453" i="14"/>
  <c r="R452" i="14"/>
  <c r="Q452" i="14"/>
  <c r="P452" i="14"/>
  <c r="O452" i="14"/>
  <c r="N452" i="14"/>
  <c r="L452" i="14"/>
  <c r="K452" i="14"/>
  <c r="J452" i="14"/>
  <c r="B452" i="14"/>
  <c r="R451" i="14"/>
  <c r="Q451" i="14"/>
  <c r="P451" i="14"/>
  <c r="O451" i="14"/>
  <c r="N451" i="14"/>
  <c r="L451" i="14"/>
  <c r="K451" i="14"/>
  <c r="J451" i="14"/>
  <c r="B451" i="14"/>
  <c r="R450" i="14"/>
  <c r="Q450" i="14"/>
  <c r="P450" i="14"/>
  <c r="O450" i="14"/>
  <c r="N450" i="14"/>
  <c r="L450" i="14"/>
  <c r="K450" i="14"/>
  <c r="J450" i="14"/>
  <c r="B450" i="14"/>
  <c r="R449" i="14"/>
  <c r="Q449" i="14"/>
  <c r="P449" i="14"/>
  <c r="O449" i="14"/>
  <c r="N449" i="14"/>
  <c r="L449" i="14"/>
  <c r="K449" i="14"/>
  <c r="J449" i="14"/>
  <c r="B449" i="14"/>
  <c r="R448" i="14"/>
  <c r="Q448" i="14"/>
  <c r="P448" i="14"/>
  <c r="O448" i="14"/>
  <c r="N448" i="14"/>
  <c r="L448" i="14"/>
  <c r="K448" i="14"/>
  <c r="J448" i="14"/>
  <c r="B448" i="14"/>
  <c r="R447" i="14"/>
  <c r="Q447" i="14"/>
  <c r="P447" i="14"/>
  <c r="O447" i="14"/>
  <c r="N447" i="14"/>
  <c r="L447" i="14"/>
  <c r="K447" i="14"/>
  <c r="J447" i="14"/>
  <c r="B447" i="14"/>
  <c r="R446" i="14"/>
  <c r="Q446" i="14"/>
  <c r="P446" i="14"/>
  <c r="O446" i="14"/>
  <c r="N446" i="14"/>
  <c r="L446" i="14"/>
  <c r="K446" i="14"/>
  <c r="J446" i="14"/>
  <c r="B446" i="14"/>
  <c r="R445" i="14"/>
  <c r="Q445" i="14"/>
  <c r="P445" i="14"/>
  <c r="O445" i="14"/>
  <c r="N445" i="14"/>
  <c r="L445" i="14"/>
  <c r="K445" i="14"/>
  <c r="J445" i="14"/>
  <c r="B445" i="14"/>
  <c r="R444" i="14"/>
  <c r="Q444" i="14"/>
  <c r="P444" i="14"/>
  <c r="O444" i="14"/>
  <c r="N444" i="14"/>
  <c r="L444" i="14"/>
  <c r="K444" i="14"/>
  <c r="J444" i="14"/>
  <c r="B444" i="14"/>
  <c r="R443" i="14"/>
  <c r="Q443" i="14"/>
  <c r="P443" i="14"/>
  <c r="O443" i="14"/>
  <c r="N443" i="14"/>
  <c r="L443" i="14"/>
  <c r="K443" i="14"/>
  <c r="J443" i="14"/>
  <c r="B443" i="14"/>
  <c r="R442" i="14"/>
  <c r="Q442" i="14"/>
  <c r="P442" i="14"/>
  <c r="O442" i="14"/>
  <c r="N442" i="14"/>
  <c r="L442" i="14"/>
  <c r="K442" i="14"/>
  <c r="J442" i="14"/>
  <c r="B442" i="14"/>
  <c r="R441" i="14"/>
  <c r="Q441" i="14"/>
  <c r="P441" i="14"/>
  <c r="O441" i="14"/>
  <c r="N441" i="14"/>
  <c r="L441" i="14"/>
  <c r="K441" i="14"/>
  <c r="J441" i="14"/>
  <c r="B441" i="14"/>
  <c r="R440" i="14"/>
  <c r="Q440" i="14"/>
  <c r="P440" i="14"/>
  <c r="O440" i="14"/>
  <c r="N440" i="14"/>
  <c r="L440" i="14"/>
  <c r="K440" i="14"/>
  <c r="J440" i="14"/>
  <c r="B440" i="14"/>
  <c r="R439" i="14"/>
  <c r="Q439" i="14"/>
  <c r="P439" i="14"/>
  <c r="O439" i="14"/>
  <c r="N439" i="14"/>
  <c r="L439" i="14"/>
  <c r="K439" i="14"/>
  <c r="J439" i="14"/>
  <c r="B439" i="14"/>
  <c r="R438" i="14"/>
  <c r="Q438" i="14"/>
  <c r="P438" i="14"/>
  <c r="O438" i="14"/>
  <c r="N438" i="14"/>
  <c r="L438" i="14"/>
  <c r="K438" i="14"/>
  <c r="J438" i="14"/>
  <c r="B438" i="14"/>
  <c r="R437" i="14"/>
  <c r="Q437" i="14"/>
  <c r="P437" i="14"/>
  <c r="O437" i="14"/>
  <c r="N437" i="14"/>
  <c r="L437" i="14"/>
  <c r="K437" i="14"/>
  <c r="J437" i="14"/>
  <c r="B437" i="14"/>
  <c r="R436" i="14"/>
  <c r="Q436" i="14"/>
  <c r="P436" i="14"/>
  <c r="O436" i="14"/>
  <c r="N436" i="14"/>
  <c r="L436" i="14"/>
  <c r="K436" i="14"/>
  <c r="J436" i="14"/>
  <c r="B436" i="14"/>
  <c r="R435" i="14"/>
  <c r="Q435" i="14"/>
  <c r="P435" i="14"/>
  <c r="O435" i="14"/>
  <c r="N435" i="14"/>
  <c r="L435" i="14"/>
  <c r="K435" i="14"/>
  <c r="J435" i="14"/>
  <c r="B435" i="14"/>
  <c r="R434" i="14"/>
  <c r="Q434" i="14"/>
  <c r="P434" i="14"/>
  <c r="O434" i="14"/>
  <c r="N434" i="14"/>
  <c r="L434" i="14"/>
  <c r="K434" i="14"/>
  <c r="J434" i="14"/>
  <c r="B434" i="14"/>
  <c r="R433" i="14"/>
  <c r="Q433" i="14"/>
  <c r="P433" i="14"/>
  <c r="O433" i="14"/>
  <c r="N433" i="14"/>
  <c r="L433" i="14"/>
  <c r="K433" i="14"/>
  <c r="J433" i="14"/>
  <c r="B433" i="14"/>
  <c r="R432" i="14"/>
  <c r="Q432" i="14"/>
  <c r="P432" i="14"/>
  <c r="O432" i="14"/>
  <c r="N432" i="14"/>
  <c r="L432" i="14"/>
  <c r="K432" i="14"/>
  <c r="J432" i="14"/>
  <c r="B432" i="14"/>
  <c r="R431" i="14"/>
  <c r="Q431" i="14"/>
  <c r="P431" i="14"/>
  <c r="O431" i="14"/>
  <c r="N431" i="14"/>
  <c r="L431" i="14"/>
  <c r="K431" i="14"/>
  <c r="J431" i="14"/>
  <c r="B431" i="14"/>
  <c r="R430" i="14"/>
  <c r="Q430" i="14"/>
  <c r="P430" i="14"/>
  <c r="O430" i="14"/>
  <c r="N430" i="14"/>
  <c r="L430" i="14"/>
  <c r="K430" i="14"/>
  <c r="J430" i="14"/>
  <c r="B430" i="14"/>
  <c r="R429" i="14"/>
  <c r="Q429" i="14"/>
  <c r="P429" i="14"/>
  <c r="O429" i="14"/>
  <c r="N429" i="14"/>
  <c r="L429" i="14"/>
  <c r="K429" i="14"/>
  <c r="J429" i="14"/>
  <c r="B429" i="14"/>
  <c r="R428" i="14"/>
  <c r="Q428" i="14"/>
  <c r="P428" i="14"/>
  <c r="O428" i="14"/>
  <c r="N428" i="14"/>
  <c r="L428" i="14"/>
  <c r="K428" i="14"/>
  <c r="J428" i="14"/>
  <c r="B428" i="14"/>
  <c r="R427" i="14"/>
  <c r="Q427" i="14"/>
  <c r="P427" i="14"/>
  <c r="O427" i="14"/>
  <c r="N427" i="14"/>
  <c r="L427" i="14"/>
  <c r="K427" i="14"/>
  <c r="J427" i="14"/>
  <c r="B427" i="14"/>
  <c r="R426" i="14"/>
  <c r="Q426" i="14"/>
  <c r="P426" i="14"/>
  <c r="O426" i="14"/>
  <c r="N426" i="14"/>
  <c r="L426" i="14"/>
  <c r="K426" i="14"/>
  <c r="J426" i="14"/>
  <c r="B426" i="14"/>
  <c r="R425" i="14"/>
  <c r="Q425" i="14"/>
  <c r="P425" i="14"/>
  <c r="O425" i="14"/>
  <c r="N425" i="14"/>
  <c r="L425" i="14"/>
  <c r="K425" i="14"/>
  <c r="J425" i="14"/>
  <c r="B425" i="14"/>
  <c r="R424" i="14"/>
  <c r="Q424" i="14"/>
  <c r="P424" i="14"/>
  <c r="O424" i="14"/>
  <c r="N424" i="14"/>
  <c r="L424" i="14"/>
  <c r="K424" i="14"/>
  <c r="J424" i="14"/>
  <c r="B424" i="14"/>
  <c r="R423" i="14"/>
  <c r="Q423" i="14"/>
  <c r="P423" i="14"/>
  <c r="O423" i="14"/>
  <c r="N423" i="14"/>
  <c r="L423" i="14"/>
  <c r="K423" i="14"/>
  <c r="J423" i="14"/>
  <c r="B423" i="14"/>
  <c r="R422" i="14"/>
  <c r="Q422" i="14"/>
  <c r="P422" i="14"/>
  <c r="O422" i="14"/>
  <c r="N422" i="14"/>
  <c r="L422" i="14"/>
  <c r="K422" i="14"/>
  <c r="J422" i="14"/>
  <c r="B422" i="14"/>
  <c r="R421" i="14"/>
  <c r="Q421" i="14"/>
  <c r="P421" i="14"/>
  <c r="O421" i="14"/>
  <c r="N421" i="14"/>
  <c r="L421" i="14"/>
  <c r="K421" i="14"/>
  <c r="J421" i="14"/>
  <c r="B421" i="14"/>
  <c r="R420" i="14"/>
  <c r="Q420" i="14"/>
  <c r="P420" i="14"/>
  <c r="O420" i="14"/>
  <c r="N420" i="14"/>
  <c r="L420" i="14"/>
  <c r="K420" i="14"/>
  <c r="J420" i="14"/>
  <c r="B420" i="14"/>
  <c r="R419" i="14"/>
  <c r="Q419" i="14"/>
  <c r="P419" i="14"/>
  <c r="O419" i="14"/>
  <c r="N419" i="14"/>
  <c r="L419" i="14"/>
  <c r="K419" i="14"/>
  <c r="J419" i="14"/>
  <c r="B419" i="14"/>
  <c r="R418" i="14"/>
  <c r="Q418" i="14"/>
  <c r="P418" i="14"/>
  <c r="O418" i="14"/>
  <c r="N418" i="14"/>
  <c r="L418" i="14"/>
  <c r="K418" i="14"/>
  <c r="J418" i="14"/>
  <c r="B418" i="14"/>
  <c r="R417" i="14"/>
  <c r="Q417" i="14"/>
  <c r="P417" i="14"/>
  <c r="O417" i="14"/>
  <c r="N417" i="14"/>
  <c r="L417" i="14"/>
  <c r="K417" i="14"/>
  <c r="J417" i="14"/>
  <c r="B417" i="14"/>
  <c r="R416" i="14"/>
  <c r="Q416" i="14"/>
  <c r="P416" i="14"/>
  <c r="O416" i="14"/>
  <c r="N416" i="14"/>
  <c r="L416" i="14"/>
  <c r="K416" i="14"/>
  <c r="J416" i="14"/>
  <c r="B416" i="14"/>
  <c r="R415" i="14"/>
  <c r="Q415" i="14"/>
  <c r="P415" i="14"/>
  <c r="O415" i="14"/>
  <c r="N415" i="14"/>
  <c r="L415" i="14"/>
  <c r="K415" i="14"/>
  <c r="J415" i="14"/>
  <c r="B415" i="14"/>
  <c r="R414" i="14"/>
  <c r="Q414" i="14"/>
  <c r="P414" i="14"/>
  <c r="O414" i="14"/>
  <c r="N414" i="14"/>
  <c r="L414" i="14"/>
  <c r="K414" i="14"/>
  <c r="J414" i="14"/>
  <c r="B414" i="14"/>
  <c r="R413" i="14"/>
  <c r="Q413" i="14"/>
  <c r="P413" i="14"/>
  <c r="O413" i="14"/>
  <c r="N413" i="14"/>
  <c r="L413" i="14"/>
  <c r="K413" i="14"/>
  <c r="J413" i="14"/>
  <c r="B413" i="14"/>
  <c r="R412" i="14"/>
  <c r="Q412" i="14"/>
  <c r="P412" i="14"/>
  <c r="O412" i="14"/>
  <c r="N412" i="14"/>
  <c r="L412" i="14"/>
  <c r="K412" i="14"/>
  <c r="J412" i="14"/>
  <c r="B412" i="14"/>
  <c r="R411" i="14"/>
  <c r="Q411" i="14"/>
  <c r="P411" i="14"/>
  <c r="O411" i="14"/>
  <c r="N411" i="14"/>
  <c r="L411" i="14"/>
  <c r="K411" i="14"/>
  <c r="J411" i="14"/>
  <c r="B411" i="14"/>
  <c r="R410" i="14"/>
  <c r="Q410" i="14"/>
  <c r="P410" i="14"/>
  <c r="O410" i="14"/>
  <c r="N410" i="14"/>
  <c r="L410" i="14"/>
  <c r="K410" i="14"/>
  <c r="J410" i="14"/>
  <c r="B410" i="14"/>
  <c r="R409" i="14"/>
  <c r="Q409" i="14"/>
  <c r="P409" i="14"/>
  <c r="O409" i="14"/>
  <c r="N409" i="14"/>
  <c r="L409" i="14"/>
  <c r="K409" i="14"/>
  <c r="J409" i="14"/>
  <c r="B409" i="14"/>
  <c r="R408" i="14"/>
  <c r="Q408" i="14"/>
  <c r="P408" i="14"/>
  <c r="O408" i="14"/>
  <c r="N408" i="14"/>
  <c r="L408" i="14"/>
  <c r="K408" i="14"/>
  <c r="J408" i="14"/>
  <c r="B408" i="14"/>
  <c r="R407" i="14"/>
  <c r="Q407" i="14"/>
  <c r="P407" i="14"/>
  <c r="O407" i="14"/>
  <c r="N407" i="14"/>
  <c r="L407" i="14"/>
  <c r="K407" i="14"/>
  <c r="J407" i="14"/>
  <c r="B407" i="14"/>
  <c r="R406" i="14"/>
  <c r="Q406" i="14"/>
  <c r="P406" i="14"/>
  <c r="O406" i="14"/>
  <c r="N406" i="14"/>
  <c r="L406" i="14"/>
  <c r="K406" i="14"/>
  <c r="J406" i="14"/>
  <c r="B406" i="14"/>
  <c r="R405" i="14"/>
  <c r="Q405" i="14"/>
  <c r="P405" i="14"/>
  <c r="O405" i="14"/>
  <c r="N405" i="14"/>
  <c r="L405" i="14"/>
  <c r="K405" i="14"/>
  <c r="J405" i="14"/>
  <c r="B405" i="14"/>
  <c r="R404" i="14"/>
  <c r="Q404" i="14"/>
  <c r="P404" i="14"/>
  <c r="O404" i="14"/>
  <c r="N404" i="14"/>
  <c r="L404" i="14"/>
  <c r="K404" i="14"/>
  <c r="J404" i="14"/>
  <c r="B404" i="14"/>
  <c r="R403" i="14"/>
  <c r="Q403" i="14"/>
  <c r="P403" i="14"/>
  <c r="O403" i="14"/>
  <c r="N403" i="14"/>
  <c r="L403" i="14"/>
  <c r="K403" i="14"/>
  <c r="J403" i="14"/>
  <c r="B403" i="14"/>
  <c r="R402" i="14"/>
  <c r="Q402" i="14"/>
  <c r="P402" i="14"/>
  <c r="O402" i="14"/>
  <c r="N402" i="14"/>
  <c r="L402" i="14"/>
  <c r="K402" i="14"/>
  <c r="J402" i="14"/>
  <c r="B402" i="14"/>
  <c r="R401" i="14"/>
  <c r="Q401" i="14"/>
  <c r="P401" i="14"/>
  <c r="O401" i="14"/>
  <c r="N401" i="14"/>
  <c r="L401" i="14"/>
  <c r="K401" i="14"/>
  <c r="J401" i="14"/>
  <c r="B401" i="14"/>
  <c r="R400" i="14"/>
  <c r="Q400" i="14"/>
  <c r="P400" i="14"/>
  <c r="O400" i="14"/>
  <c r="N400" i="14"/>
  <c r="L400" i="14"/>
  <c r="K400" i="14"/>
  <c r="J400" i="14"/>
  <c r="B400" i="14"/>
  <c r="R399" i="14"/>
  <c r="Q399" i="14"/>
  <c r="P399" i="14"/>
  <c r="O399" i="14"/>
  <c r="N399" i="14"/>
  <c r="L399" i="14"/>
  <c r="K399" i="14"/>
  <c r="J399" i="14"/>
  <c r="B399" i="14"/>
  <c r="R398" i="14"/>
  <c r="Q398" i="14"/>
  <c r="P398" i="14"/>
  <c r="O398" i="14"/>
  <c r="N398" i="14"/>
  <c r="L398" i="14"/>
  <c r="K398" i="14"/>
  <c r="J398" i="14"/>
  <c r="B398" i="14"/>
  <c r="R397" i="14"/>
  <c r="Q397" i="14"/>
  <c r="P397" i="14"/>
  <c r="O397" i="14"/>
  <c r="N397" i="14"/>
  <c r="L397" i="14"/>
  <c r="K397" i="14"/>
  <c r="J397" i="14"/>
  <c r="B397" i="14"/>
  <c r="R396" i="14"/>
  <c r="Q396" i="14"/>
  <c r="P396" i="14"/>
  <c r="O396" i="14"/>
  <c r="N396" i="14"/>
  <c r="L396" i="14"/>
  <c r="K396" i="14"/>
  <c r="J396" i="14"/>
  <c r="B396" i="14"/>
  <c r="R395" i="14"/>
  <c r="Q395" i="14"/>
  <c r="P395" i="14"/>
  <c r="O395" i="14"/>
  <c r="N395" i="14"/>
  <c r="L395" i="14"/>
  <c r="K395" i="14"/>
  <c r="J395" i="14"/>
  <c r="B395" i="14"/>
  <c r="R394" i="14"/>
  <c r="Q394" i="14"/>
  <c r="P394" i="14"/>
  <c r="O394" i="14"/>
  <c r="N394" i="14"/>
  <c r="L394" i="14"/>
  <c r="K394" i="14"/>
  <c r="J394" i="14"/>
  <c r="B394" i="14"/>
  <c r="R393" i="14"/>
  <c r="Q393" i="14"/>
  <c r="P393" i="14"/>
  <c r="O393" i="14"/>
  <c r="N393" i="14"/>
  <c r="L393" i="14"/>
  <c r="K393" i="14"/>
  <c r="J393" i="14"/>
  <c r="B393" i="14"/>
  <c r="R392" i="14"/>
  <c r="Q392" i="14"/>
  <c r="P392" i="14"/>
  <c r="O392" i="14"/>
  <c r="N392" i="14"/>
  <c r="L392" i="14"/>
  <c r="K392" i="14"/>
  <c r="J392" i="14"/>
  <c r="B392" i="14"/>
  <c r="R391" i="14"/>
  <c r="Q391" i="14"/>
  <c r="P391" i="14"/>
  <c r="O391" i="14"/>
  <c r="N391" i="14"/>
  <c r="L391" i="14"/>
  <c r="K391" i="14"/>
  <c r="J391" i="14"/>
  <c r="B391" i="14"/>
  <c r="R390" i="14"/>
  <c r="Q390" i="14"/>
  <c r="P390" i="14"/>
  <c r="O390" i="14"/>
  <c r="N390" i="14"/>
  <c r="L390" i="14"/>
  <c r="K390" i="14"/>
  <c r="J390" i="14"/>
  <c r="B390" i="14"/>
  <c r="R389" i="14"/>
  <c r="Q389" i="14"/>
  <c r="P389" i="14"/>
  <c r="O389" i="14"/>
  <c r="N389" i="14"/>
  <c r="L389" i="14"/>
  <c r="K389" i="14"/>
  <c r="J389" i="14"/>
  <c r="B389" i="14"/>
  <c r="R388" i="14"/>
  <c r="Q388" i="14"/>
  <c r="P388" i="14"/>
  <c r="O388" i="14"/>
  <c r="N388" i="14"/>
  <c r="L388" i="14"/>
  <c r="K388" i="14"/>
  <c r="J388" i="14"/>
  <c r="B388" i="14"/>
  <c r="R387" i="14"/>
  <c r="Q387" i="14"/>
  <c r="P387" i="14"/>
  <c r="O387" i="14"/>
  <c r="N387" i="14"/>
  <c r="L387" i="14"/>
  <c r="K387" i="14"/>
  <c r="J387" i="14"/>
  <c r="B387" i="14"/>
  <c r="R386" i="14"/>
  <c r="Q386" i="14"/>
  <c r="P386" i="14"/>
  <c r="O386" i="14"/>
  <c r="N386" i="14"/>
  <c r="L386" i="14"/>
  <c r="K386" i="14"/>
  <c r="J386" i="14"/>
  <c r="B386" i="14"/>
  <c r="R385" i="14"/>
  <c r="Q385" i="14"/>
  <c r="P385" i="14"/>
  <c r="O385" i="14"/>
  <c r="N385" i="14"/>
  <c r="L385" i="14"/>
  <c r="K385" i="14"/>
  <c r="J385" i="14"/>
  <c r="B385" i="14"/>
  <c r="R384" i="14"/>
  <c r="Q384" i="14"/>
  <c r="P384" i="14"/>
  <c r="O384" i="14"/>
  <c r="N384" i="14"/>
  <c r="L384" i="14"/>
  <c r="K384" i="14"/>
  <c r="J384" i="14"/>
  <c r="B384" i="14"/>
  <c r="R383" i="14"/>
  <c r="Q383" i="14"/>
  <c r="P383" i="14"/>
  <c r="O383" i="14"/>
  <c r="N383" i="14"/>
  <c r="L383" i="14"/>
  <c r="K383" i="14"/>
  <c r="J383" i="14"/>
  <c r="B383" i="14"/>
  <c r="R382" i="14"/>
  <c r="Q382" i="14"/>
  <c r="P382" i="14"/>
  <c r="O382" i="14"/>
  <c r="N382" i="14"/>
  <c r="L382" i="14"/>
  <c r="K382" i="14"/>
  <c r="J382" i="14"/>
  <c r="B382" i="14"/>
  <c r="R381" i="14"/>
  <c r="Q381" i="14"/>
  <c r="P381" i="14"/>
  <c r="O381" i="14"/>
  <c r="N381" i="14"/>
  <c r="L381" i="14"/>
  <c r="K381" i="14"/>
  <c r="J381" i="14"/>
  <c r="B381" i="14"/>
  <c r="R380" i="14"/>
  <c r="Q380" i="14"/>
  <c r="P380" i="14"/>
  <c r="O380" i="14"/>
  <c r="N380" i="14"/>
  <c r="L380" i="14"/>
  <c r="K380" i="14"/>
  <c r="J380" i="14"/>
  <c r="B380" i="14"/>
  <c r="R379" i="14"/>
  <c r="Q379" i="14"/>
  <c r="P379" i="14"/>
  <c r="O379" i="14"/>
  <c r="N379" i="14"/>
  <c r="L379" i="14"/>
  <c r="K379" i="14"/>
  <c r="J379" i="14"/>
  <c r="B379" i="14"/>
  <c r="R378" i="14"/>
  <c r="Q378" i="14"/>
  <c r="P378" i="14"/>
  <c r="O378" i="14"/>
  <c r="N378" i="14"/>
  <c r="L378" i="14"/>
  <c r="K378" i="14"/>
  <c r="J378" i="14"/>
  <c r="B378" i="14"/>
  <c r="R377" i="14"/>
  <c r="Q377" i="14"/>
  <c r="P377" i="14"/>
  <c r="O377" i="14"/>
  <c r="N377" i="14"/>
  <c r="L377" i="14"/>
  <c r="K377" i="14"/>
  <c r="J377" i="14"/>
  <c r="B377" i="14"/>
  <c r="R376" i="14"/>
  <c r="Q376" i="14"/>
  <c r="P376" i="14"/>
  <c r="O376" i="14"/>
  <c r="N376" i="14"/>
  <c r="L376" i="14"/>
  <c r="K376" i="14"/>
  <c r="J376" i="14"/>
  <c r="B376" i="14"/>
  <c r="R375" i="14"/>
  <c r="Q375" i="14"/>
  <c r="P375" i="14"/>
  <c r="O375" i="14"/>
  <c r="N375" i="14"/>
  <c r="L375" i="14"/>
  <c r="K375" i="14"/>
  <c r="J375" i="14"/>
  <c r="B375" i="14"/>
  <c r="R374" i="14"/>
  <c r="Q374" i="14"/>
  <c r="P374" i="14"/>
  <c r="O374" i="14"/>
  <c r="N374" i="14"/>
  <c r="L374" i="14"/>
  <c r="K374" i="14"/>
  <c r="J374" i="14"/>
  <c r="B374" i="14"/>
  <c r="R373" i="14"/>
  <c r="Q373" i="14"/>
  <c r="P373" i="14"/>
  <c r="O373" i="14"/>
  <c r="N373" i="14"/>
  <c r="L373" i="14"/>
  <c r="K373" i="14"/>
  <c r="J373" i="14"/>
  <c r="B373" i="14"/>
  <c r="R372" i="14"/>
  <c r="Q372" i="14"/>
  <c r="P372" i="14"/>
  <c r="O372" i="14"/>
  <c r="N372" i="14"/>
  <c r="L372" i="14"/>
  <c r="K372" i="14"/>
  <c r="J372" i="14"/>
  <c r="B372" i="14"/>
  <c r="R371" i="14"/>
  <c r="Q371" i="14"/>
  <c r="P371" i="14"/>
  <c r="O371" i="14"/>
  <c r="N371" i="14"/>
  <c r="L371" i="14"/>
  <c r="K371" i="14"/>
  <c r="J371" i="14"/>
  <c r="B371" i="14"/>
  <c r="R370" i="14"/>
  <c r="Q370" i="14"/>
  <c r="P370" i="14"/>
  <c r="O370" i="14"/>
  <c r="N370" i="14"/>
  <c r="L370" i="14"/>
  <c r="K370" i="14"/>
  <c r="J370" i="14"/>
  <c r="B370" i="14"/>
  <c r="R369" i="14"/>
  <c r="Q369" i="14"/>
  <c r="P369" i="14"/>
  <c r="O369" i="14"/>
  <c r="N369" i="14"/>
  <c r="L369" i="14"/>
  <c r="K369" i="14"/>
  <c r="J369" i="14"/>
  <c r="B369" i="14"/>
  <c r="R368" i="14"/>
  <c r="Q368" i="14"/>
  <c r="P368" i="14"/>
  <c r="O368" i="14"/>
  <c r="N368" i="14"/>
  <c r="L368" i="14"/>
  <c r="K368" i="14"/>
  <c r="J368" i="14"/>
  <c r="B368" i="14"/>
  <c r="R367" i="14"/>
  <c r="Q367" i="14"/>
  <c r="P367" i="14"/>
  <c r="O367" i="14"/>
  <c r="N367" i="14"/>
  <c r="L367" i="14"/>
  <c r="K367" i="14"/>
  <c r="J367" i="14"/>
  <c r="B367" i="14"/>
  <c r="R366" i="14"/>
  <c r="Q366" i="14"/>
  <c r="P366" i="14"/>
  <c r="O366" i="14"/>
  <c r="N366" i="14"/>
  <c r="L366" i="14"/>
  <c r="K366" i="14"/>
  <c r="J366" i="14"/>
  <c r="B366" i="14"/>
  <c r="R365" i="14"/>
  <c r="Q365" i="14"/>
  <c r="P365" i="14"/>
  <c r="O365" i="14"/>
  <c r="N365" i="14"/>
  <c r="L365" i="14"/>
  <c r="K365" i="14"/>
  <c r="J365" i="14"/>
  <c r="B365" i="14"/>
  <c r="R364" i="14"/>
  <c r="Q364" i="14"/>
  <c r="P364" i="14"/>
  <c r="O364" i="14"/>
  <c r="N364" i="14"/>
  <c r="L364" i="14"/>
  <c r="K364" i="14"/>
  <c r="J364" i="14"/>
  <c r="B364" i="14"/>
  <c r="R363" i="14"/>
  <c r="Q363" i="14"/>
  <c r="P363" i="14"/>
  <c r="O363" i="14"/>
  <c r="N363" i="14"/>
  <c r="L363" i="14"/>
  <c r="K363" i="14"/>
  <c r="J363" i="14"/>
  <c r="B363" i="14"/>
  <c r="R362" i="14"/>
  <c r="Q362" i="14"/>
  <c r="P362" i="14"/>
  <c r="O362" i="14"/>
  <c r="N362" i="14"/>
  <c r="L362" i="14"/>
  <c r="K362" i="14"/>
  <c r="J362" i="14"/>
  <c r="B362" i="14"/>
  <c r="R361" i="14"/>
  <c r="Q361" i="14"/>
  <c r="P361" i="14"/>
  <c r="O361" i="14"/>
  <c r="N361" i="14"/>
  <c r="L361" i="14"/>
  <c r="K361" i="14"/>
  <c r="J361" i="14"/>
  <c r="B361" i="14"/>
  <c r="R360" i="14"/>
  <c r="Q360" i="14"/>
  <c r="P360" i="14"/>
  <c r="O360" i="14"/>
  <c r="N360" i="14"/>
  <c r="L360" i="14"/>
  <c r="K360" i="14"/>
  <c r="J360" i="14"/>
  <c r="B360" i="14"/>
  <c r="R359" i="14"/>
  <c r="Q359" i="14"/>
  <c r="P359" i="14"/>
  <c r="O359" i="14"/>
  <c r="N359" i="14"/>
  <c r="L359" i="14"/>
  <c r="K359" i="14"/>
  <c r="J359" i="14"/>
  <c r="B359" i="14"/>
  <c r="R358" i="14"/>
  <c r="Q358" i="14"/>
  <c r="P358" i="14"/>
  <c r="O358" i="14"/>
  <c r="N358" i="14"/>
  <c r="L358" i="14"/>
  <c r="K358" i="14"/>
  <c r="J358" i="14"/>
  <c r="B358" i="14"/>
  <c r="R357" i="14"/>
  <c r="Q357" i="14"/>
  <c r="P357" i="14"/>
  <c r="O357" i="14"/>
  <c r="N357" i="14"/>
  <c r="L357" i="14"/>
  <c r="K357" i="14"/>
  <c r="J357" i="14"/>
  <c r="B357" i="14"/>
  <c r="R356" i="14"/>
  <c r="Q356" i="14"/>
  <c r="P356" i="14"/>
  <c r="O356" i="14"/>
  <c r="N356" i="14"/>
  <c r="L356" i="14"/>
  <c r="K356" i="14"/>
  <c r="J356" i="14"/>
  <c r="B356" i="14"/>
  <c r="R355" i="14"/>
  <c r="Q355" i="14"/>
  <c r="P355" i="14"/>
  <c r="O355" i="14"/>
  <c r="N355" i="14"/>
  <c r="L355" i="14"/>
  <c r="K355" i="14"/>
  <c r="J355" i="14"/>
  <c r="B355" i="14"/>
  <c r="R354" i="14"/>
  <c r="Q354" i="14"/>
  <c r="P354" i="14"/>
  <c r="O354" i="14"/>
  <c r="N354" i="14"/>
  <c r="L354" i="14"/>
  <c r="K354" i="14"/>
  <c r="J354" i="14"/>
  <c r="B354" i="14"/>
  <c r="R353" i="14"/>
  <c r="Q353" i="14"/>
  <c r="P353" i="14"/>
  <c r="O353" i="14"/>
  <c r="N353" i="14"/>
  <c r="L353" i="14"/>
  <c r="K353" i="14"/>
  <c r="J353" i="14"/>
  <c r="B353" i="14"/>
  <c r="R352" i="14"/>
  <c r="Q352" i="14"/>
  <c r="P352" i="14"/>
  <c r="O352" i="14"/>
  <c r="N352" i="14"/>
  <c r="L352" i="14"/>
  <c r="K352" i="14"/>
  <c r="J352" i="14"/>
  <c r="B352" i="14"/>
  <c r="R351" i="14"/>
  <c r="Q351" i="14"/>
  <c r="P351" i="14"/>
  <c r="O351" i="14"/>
  <c r="N351" i="14"/>
  <c r="L351" i="14"/>
  <c r="K351" i="14"/>
  <c r="J351" i="14"/>
  <c r="B351" i="14"/>
  <c r="R350" i="14"/>
  <c r="Q350" i="14"/>
  <c r="P350" i="14"/>
  <c r="O350" i="14"/>
  <c r="N350" i="14"/>
  <c r="L350" i="14"/>
  <c r="K350" i="14"/>
  <c r="J350" i="14"/>
  <c r="B350" i="14"/>
  <c r="R349" i="14"/>
  <c r="Q349" i="14"/>
  <c r="P349" i="14"/>
  <c r="O349" i="14"/>
  <c r="N349" i="14"/>
  <c r="L349" i="14"/>
  <c r="K349" i="14"/>
  <c r="J349" i="14"/>
  <c r="B349" i="14"/>
  <c r="R348" i="14"/>
  <c r="Q348" i="14"/>
  <c r="P348" i="14"/>
  <c r="O348" i="14"/>
  <c r="N348" i="14"/>
  <c r="L348" i="14"/>
  <c r="K348" i="14"/>
  <c r="J348" i="14"/>
  <c r="B348" i="14"/>
  <c r="R347" i="14"/>
  <c r="Q347" i="14"/>
  <c r="P347" i="14"/>
  <c r="O347" i="14"/>
  <c r="N347" i="14"/>
  <c r="L347" i="14"/>
  <c r="K347" i="14"/>
  <c r="J347" i="14"/>
  <c r="B347" i="14"/>
  <c r="R346" i="14"/>
  <c r="Q346" i="14"/>
  <c r="P346" i="14"/>
  <c r="O346" i="14"/>
  <c r="N346" i="14"/>
  <c r="L346" i="14"/>
  <c r="K346" i="14"/>
  <c r="J346" i="14"/>
  <c r="B346" i="14"/>
  <c r="R345" i="14"/>
  <c r="Q345" i="14"/>
  <c r="P345" i="14"/>
  <c r="O345" i="14"/>
  <c r="N345" i="14"/>
  <c r="L345" i="14"/>
  <c r="K345" i="14"/>
  <c r="J345" i="14"/>
  <c r="B345" i="14"/>
  <c r="R344" i="14"/>
  <c r="Q344" i="14"/>
  <c r="P344" i="14"/>
  <c r="O344" i="14"/>
  <c r="N344" i="14"/>
  <c r="L344" i="14"/>
  <c r="K344" i="14"/>
  <c r="J344" i="14"/>
  <c r="B344" i="14"/>
  <c r="R343" i="14"/>
  <c r="Q343" i="14"/>
  <c r="P343" i="14"/>
  <c r="O343" i="14"/>
  <c r="N343" i="14"/>
  <c r="L343" i="14"/>
  <c r="K343" i="14"/>
  <c r="J343" i="14"/>
  <c r="B343" i="14"/>
  <c r="R342" i="14"/>
  <c r="Q342" i="14"/>
  <c r="P342" i="14"/>
  <c r="O342" i="14"/>
  <c r="N342" i="14"/>
  <c r="L342" i="14"/>
  <c r="K342" i="14"/>
  <c r="J342" i="14"/>
  <c r="B342" i="14"/>
  <c r="R341" i="14"/>
  <c r="Q341" i="14"/>
  <c r="P341" i="14"/>
  <c r="O341" i="14"/>
  <c r="N341" i="14"/>
  <c r="L341" i="14"/>
  <c r="K341" i="14"/>
  <c r="J341" i="14"/>
  <c r="B341" i="14"/>
  <c r="R340" i="14"/>
  <c r="Q340" i="14"/>
  <c r="P340" i="14"/>
  <c r="O340" i="14"/>
  <c r="N340" i="14"/>
  <c r="L340" i="14"/>
  <c r="K340" i="14"/>
  <c r="J340" i="14"/>
  <c r="B340" i="14"/>
  <c r="R339" i="14"/>
  <c r="Q339" i="14"/>
  <c r="P339" i="14"/>
  <c r="O339" i="14"/>
  <c r="N339" i="14"/>
  <c r="L339" i="14"/>
  <c r="K339" i="14"/>
  <c r="J339" i="14"/>
  <c r="B339" i="14"/>
  <c r="R338" i="14"/>
  <c r="Q338" i="14"/>
  <c r="P338" i="14"/>
  <c r="O338" i="14"/>
  <c r="N338" i="14"/>
  <c r="L338" i="14"/>
  <c r="K338" i="14"/>
  <c r="J338" i="14"/>
  <c r="B338" i="14"/>
  <c r="R337" i="14"/>
  <c r="Q337" i="14"/>
  <c r="P337" i="14"/>
  <c r="O337" i="14"/>
  <c r="N337" i="14"/>
  <c r="L337" i="14"/>
  <c r="K337" i="14"/>
  <c r="J337" i="14"/>
  <c r="B337" i="14"/>
  <c r="R336" i="14"/>
  <c r="Q336" i="14"/>
  <c r="P336" i="14"/>
  <c r="O336" i="14"/>
  <c r="N336" i="14"/>
  <c r="L336" i="14"/>
  <c r="K336" i="14"/>
  <c r="J336" i="14"/>
  <c r="B336" i="14"/>
  <c r="R335" i="14"/>
  <c r="Q335" i="14"/>
  <c r="P335" i="14"/>
  <c r="O335" i="14"/>
  <c r="N335" i="14"/>
  <c r="L335" i="14"/>
  <c r="K335" i="14"/>
  <c r="J335" i="14"/>
  <c r="B335" i="14"/>
  <c r="R334" i="14"/>
  <c r="Q334" i="14"/>
  <c r="P334" i="14"/>
  <c r="O334" i="14"/>
  <c r="N334" i="14"/>
  <c r="L334" i="14"/>
  <c r="K334" i="14"/>
  <c r="J334" i="14"/>
  <c r="B334" i="14"/>
  <c r="R333" i="14"/>
  <c r="Q333" i="14"/>
  <c r="P333" i="14"/>
  <c r="O333" i="14"/>
  <c r="N333" i="14"/>
  <c r="L333" i="14"/>
  <c r="K333" i="14"/>
  <c r="J333" i="14"/>
  <c r="B333" i="14"/>
  <c r="R332" i="14"/>
  <c r="Q332" i="14"/>
  <c r="P332" i="14"/>
  <c r="O332" i="14"/>
  <c r="N332" i="14"/>
  <c r="L332" i="14"/>
  <c r="K332" i="14"/>
  <c r="J332" i="14"/>
  <c r="B332" i="14"/>
  <c r="R331" i="14"/>
  <c r="Q331" i="14"/>
  <c r="P331" i="14"/>
  <c r="O331" i="14"/>
  <c r="N331" i="14"/>
  <c r="L331" i="14"/>
  <c r="K331" i="14"/>
  <c r="J331" i="14"/>
  <c r="B331" i="14"/>
  <c r="R330" i="14"/>
  <c r="Q330" i="14"/>
  <c r="P330" i="14"/>
  <c r="O330" i="14"/>
  <c r="N330" i="14"/>
  <c r="L330" i="14"/>
  <c r="K330" i="14"/>
  <c r="J330" i="14"/>
  <c r="B330" i="14"/>
  <c r="R329" i="14"/>
  <c r="Q329" i="14"/>
  <c r="P329" i="14"/>
  <c r="O329" i="14"/>
  <c r="N329" i="14"/>
  <c r="L329" i="14"/>
  <c r="K329" i="14"/>
  <c r="J329" i="14"/>
  <c r="B329" i="14"/>
  <c r="R328" i="14"/>
  <c r="Q328" i="14"/>
  <c r="P328" i="14"/>
  <c r="O328" i="14"/>
  <c r="N328" i="14"/>
  <c r="L328" i="14"/>
  <c r="K328" i="14"/>
  <c r="J328" i="14"/>
  <c r="B328" i="14"/>
  <c r="R327" i="14"/>
  <c r="Q327" i="14"/>
  <c r="P327" i="14"/>
  <c r="O327" i="14"/>
  <c r="N327" i="14"/>
  <c r="L327" i="14"/>
  <c r="K327" i="14"/>
  <c r="J327" i="14"/>
  <c r="B327" i="14"/>
  <c r="R326" i="14"/>
  <c r="Q326" i="14"/>
  <c r="P326" i="14"/>
  <c r="O326" i="14"/>
  <c r="N326" i="14"/>
  <c r="L326" i="14"/>
  <c r="K326" i="14"/>
  <c r="J326" i="14"/>
  <c r="B326" i="14"/>
  <c r="R325" i="14"/>
  <c r="Q325" i="14"/>
  <c r="P325" i="14"/>
  <c r="O325" i="14"/>
  <c r="N325" i="14"/>
  <c r="L325" i="14"/>
  <c r="K325" i="14"/>
  <c r="J325" i="14"/>
  <c r="B325" i="14"/>
  <c r="R324" i="14"/>
  <c r="Q324" i="14"/>
  <c r="P324" i="14"/>
  <c r="O324" i="14"/>
  <c r="N324" i="14"/>
  <c r="L324" i="14"/>
  <c r="K324" i="14"/>
  <c r="J324" i="14"/>
  <c r="B324" i="14"/>
  <c r="R323" i="14"/>
  <c r="Q323" i="14"/>
  <c r="P323" i="14"/>
  <c r="O323" i="14"/>
  <c r="N323" i="14"/>
  <c r="L323" i="14"/>
  <c r="K323" i="14"/>
  <c r="J323" i="14"/>
  <c r="B323" i="14"/>
  <c r="R322" i="14"/>
  <c r="Q322" i="14"/>
  <c r="P322" i="14"/>
  <c r="O322" i="14"/>
  <c r="N322" i="14"/>
  <c r="L322" i="14"/>
  <c r="K322" i="14"/>
  <c r="J322" i="14"/>
  <c r="B322" i="14"/>
  <c r="R321" i="14"/>
  <c r="Q321" i="14"/>
  <c r="P321" i="14"/>
  <c r="O321" i="14"/>
  <c r="N321" i="14"/>
  <c r="L321" i="14"/>
  <c r="K321" i="14"/>
  <c r="J321" i="14"/>
  <c r="B321" i="14"/>
  <c r="R320" i="14"/>
  <c r="Q320" i="14"/>
  <c r="P320" i="14"/>
  <c r="O320" i="14"/>
  <c r="N320" i="14"/>
  <c r="L320" i="14"/>
  <c r="K320" i="14"/>
  <c r="J320" i="14"/>
  <c r="B320" i="14"/>
  <c r="R319" i="14"/>
  <c r="Q319" i="14"/>
  <c r="P319" i="14"/>
  <c r="O319" i="14"/>
  <c r="N319" i="14"/>
  <c r="L319" i="14"/>
  <c r="K319" i="14"/>
  <c r="J319" i="14"/>
  <c r="B319" i="14"/>
  <c r="R318" i="14"/>
  <c r="Q318" i="14"/>
  <c r="P318" i="14"/>
  <c r="O318" i="14"/>
  <c r="N318" i="14"/>
  <c r="L318" i="14"/>
  <c r="K318" i="14"/>
  <c r="J318" i="14"/>
  <c r="B318" i="14"/>
  <c r="R317" i="14"/>
  <c r="Q317" i="14"/>
  <c r="P317" i="14"/>
  <c r="O317" i="14"/>
  <c r="N317" i="14"/>
  <c r="L317" i="14"/>
  <c r="K317" i="14"/>
  <c r="J317" i="14"/>
  <c r="B317" i="14"/>
  <c r="R316" i="14"/>
  <c r="Q316" i="14"/>
  <c r="P316" i="14"/>
  <c r="O316" i="14"/>
  <c r="N316" i="14"/>
  <c r="L316" i="14"/>
  <c r="K316" i="14"/>
  <c r="J316" i="14"/>
  <c r="B316" i="14"/>
  <c r="R315" i="14"/>
  <c r="Q315" i="14"/>
  <c r="P315" i="14"/>
  <c r="O315" i="14"/>
  <c r="N315" i="14"/>
  <c r="L315" i="14"/>
  <c r="K315" i="14"/>
  <c r="J315" i="14"/>
  <c r="B315" i="14"/>
  <c r="R314" i="14"/>
  <c r="Q314" i="14"/>
  <c r="P314" i="14"/>
  <c r="O314" i="14"/>
  <c r="N314" i="14"/>
  <c r="L314" i="14"/>
  <c r="K314" i="14"/>
  <c r="J314" i="14"/>
  <c r="B314" i="14"/>
  <c r="R313" i="14"/>
  <c r="Q313" i="14"/>
  <c r="P313" i="14"/>
  <c r="O313" i="14"/>
  <c r="N313" i="14"/>
  <c r="L313" i="14"/>
  <c r="K313" i="14"/>
  <c r="J313" i="14"/>
  <c r="B313" i="14"/>
  <c r="R312" i="14"/>
  <c r="Q312" i="14"/>
  <c r="P312" i="14"/>
  <c r="O312" i="14"/>
  <c r="N312" i="14"/>
  <c r="L312" i="14"/>
  <c r="K312" i="14"/>
  <c r="J312" i="14"/>
  <c r="B312" i="14"/>
  <c r="R311" i="14"/>
  <c r="Q311" i="14"/>
  <c r="P311" i="14"/>
  <c r="O311" i="14"/>
  <c r="N311" i="14"/>
  <c r="L311" i="14"/>
  <c r="K311" i="14"/>
  <c r="J311" i="14"/>
  <c r="B311" i="14"/>
  <c r="R310" i="14"/>
  <c r="Q310" i="14"/>
  <c r="P310" i="14"/>
  <c r="O310" i="14"/>
  <c r="N310" i="14"/>
  <c r="L310" i="14"/>
  <c r="K310" i="14"/>
  <c r="J310" i="14"/>
  <c r="B310" i="14"/>
  <c r="R309" i="14"/>
  <c r="Q309" i="14"/>
  <c r="P309" i="14"/>
  <c r="O309" i="14"/>
  <c r="N309" i="14"/>
  <c r="L309" i="14"/>
  <c r="K309" i="14"/>
  <c r="J309" i="14"/>
  <c r="B309" i="14"/>
  <c r="R308" i="14"/>
  <c r="Q308" i="14"/>
  <c r="P308" i="14"/>
  <c r="O308" i="14"/>
  <c r="N308" i="14"/>
  <c r="L308" i="14"/>
  <c r="K308" i="14"/>
  <c r="J308" i="14"/>
  <c r="B308" i="14"/>
  <c r="R307" i="14"/>
  <c r="Q307" i="14"/>
  <c r="P307" i="14"/>
  <c r="O307" i="14"/>
  <c r="N307" i="14"/>
  <c r="L307" i="14"/>
  <c r="K307" i="14"/>
  <c r="J307" i="14"/>
  <c r="B307" i="14"/>
  <c r="R306" i="14"/>
  <c r="Q306" i="14"/>
  <c r="P306" i="14"/>
  <c r="O306" i="14"/>
  <c r="N306" i="14"/>
  <c r="L306" i="14"/>
  <c r="K306" i="14"/>
  <c r="J306" i="14"/>
  <c r="B306" i="14"/>
  <c r="R305" i="14"/>
  <c r="Q305" i="14"/>
  <c r="P305" i="14"/>
  <c r="O305" i="14"/>
  <c r="N305" i="14"/>
  <c r="L305" i="14"/>
  <c r="K305" i="14"/>
  <c r="J305" i="14"/>
  <c r="B305" i="14"/>
  <c r="R304" i="14"/>
  <c r="Q304" i="14"/>
  <c r="P304" i="14"/>
  <c r="O304" i="14"/>
  <c r="N304" i="14"/>
  <c r="L304" i="14"/>
  <c r="K304" i="14"/>
  <c r="J304" i="14"/>
  <c r="B304" i="14"/>
  <c r="R303" i="14"/>
  <c r="Q303" i="14"/>
  <c r="P303" i="14"/>
  <c r="O303" i="14"/>
  <c r="N303" i="14"/>
  <c r="L303" i="14"/>
  <c r="K303" i="14"/>
  <c r="J303" i="14"/>
  <c r="B303" i="14"/>
  <c r="R302" i="14"/>
  <c r="Q302" i="14"/>
  <c r="P302" i="14"/>
  <c r="O302" i="14"/>
  <c r="N302" i="14"/>
  <c r="L302" i="14"/>
  <c r="K302" i="14"/>
  <c r="J302" i="14"/>
  <c r="B302" i="14"/>
  <c r="R301" i="14"/>
  <c r="Q301" i="14"/>
  <c r="P301" i="14"/>
  <c r="O301" i="14"/>
  <c r="N301" i="14"/>
  <c r="L301" i="14"/>
  <c r="K301" i="14"/>
  <c r="J301" i="14"/>
  <c r="B301" i="14"/>
  <c r="R300" i="14"/>
  <c r="Q300" i="14"/>
  <c r="P300" i="14"/>
  <c r="O300" i="14"/>
  <c r="N300" i="14"/>
  <c r="L300" i="14"/>
  <c r="K300" i="14"/>
  <c r="J300" i="14"/>
  <c r="B300" i="14"/>
  <c r="R299" i="14"/>
  <c r="Q299" i="14"/>
  <c r="P299" i="14"/>
  <c r="O299" i="14"/>
  <c r="N299" i="14"/>
  <c r="L299" i="14"/>
  <c r="K299" i="14"/>
  <c r="J299" i="14"/>
  <c r="B299" i="14"/>
  <c r="R298" i="14"/>
  <c r="Q298" i="14"/>
  <c r="P298" i="14"/>
  <c r="O298" i="14"/>
  <c r="N298" i="14"/>
  <c r="L298" i="14"/>
  <c r="K298" i="14"/>
  <c r="J298" i="14"/>
  <c r="B298" i="14"/>
  <c r="R297" i="14"/>
  <c r="Q297" i="14"/>
  <c r="P297" i="14"/>
  <c r="O297" i="14"/>
  <c r="N297" i="14"/>
  <c r="L297" i="14"/>
  <c r="K297" i="14"/>
  <c r="J297" i="14"/>
  <c r="B297" i="14"/>
  <c r="R296" i="14"/>
  <c r="Q296" i="14"/>
  <c r="P296" i="14"/>
  <c r="O296" i="14"/>
  <c r="N296" i="14"/>
  <c r="L296" i="14"/>
  <c r="K296" i="14"/>
  <c r="J296" i="14"/>
  <c r="B296" i="14"/>
  <c r="R295" i="14"/>
  <c r="Q295" i="14"/>
  <c r="P295" i="14"/>
  <c r="O295" i="14"/>
  <c r="N295" i="14"/>
  <c r="L295" i="14"/>
  <c r="K295" i="14"/>
  <c r="J295" i="14"/>
  <c r="B295" i="14"/>
  <c r="R294" i="14"/>
  <c r="Q294" i="14"/>
  <c r="P294" i="14"/>
  <c r="O294" i="14"/>
  <c r="N294" i="14"/>
  <c r="L294" i="14"/>
  <c r="K294" i="14"/>
  <c r="J294" i="14"/>
  <c r="B294" i="14"/>
  <c r="R293" i="14"/>
  <c r="Q293" i="14"/>
  <c r="P293" i="14"/>
  <c r="O293" i="14"/>
  <c r="N293" i="14"/>
  <c r="L293" i="14"/>
  <c r="K293" i="14"/>
  <c r="J293" i="14"/>
  <c r="B293" i="14"/>
  <c r="R292" i="14"/>
  <c r="Q292" i="14"/>
  <c r="P292" i="14"/>
  <c r="O292" i="14"/>
  <c r="N292" i="14"/>
  <c r="L292" i="14"/>
  <c r="K292" i="14"/>
  <c r="J292" i="14"/>
  <c r="B292" i="14"/>
  <c r="R291" i="14"/>
  <c r="Q291" i="14"/>
  <c r="P291" i="14"/>
  <c r="O291" i="14"/>
  <c r="N291" i="14"/>
  <c r="L291" i="14"/>
  <c r="K291" i="14"/>
  <c r="J291" i="14"/>
  <c r="B291" i="14"/>
  <c r="R290" i="14"/>
  <c r="Q290" i="14"/>
  <c r="P290" i="14"/>
  <c r="O290" i="14"/>
  <c r="N290" i="14"/>
  <c r="L290" i="14"/>
  <c r="K290" i="14"/>
  <c r="J290" i="14"/>
  <c r="B290" i="14"/>
  <c r="R289" i="14"/>
  <c r="Q289" i="14"/>
  <c r="P289" i="14"/>
  <c r="O289" i="14"/>
  <c r="N289" i="14"/>
  <c r="L289" i="14"/>
  <c r="K289" i="14"/>
  <c r="J289" i="14"/>
  <c r="B289" i="14"/>
  <c r="R288" i="14"/>
  <c r="Q288" i="14"/>
  <c r="P288" i="14"/>
  <c r="O288" i="14"/>
  <c r="N288" i="14"/>
  <c r="L288" i="14"/>
  <c r="K288" i="14"/>
  <c r="J288" i="14"/>
  <c r="B288" i="14"/>
  <c r="R287" i="14"/>
  <c r="Q287" i="14"/>
  <c r="P287" i="14"/>
  <c r="O287" i="14"/>
  <c r="N287" i="14"/>
  <c r="L287" i="14"/>
  <c r="K287" i="14"/>
  <c r="J287" i="14"/>
  <c r="B287" i="14"/>
  <c r="R286" i="14"/>
  <c r="Q286" i="14"/>
  <c r="P286" i="14"/>
  <c r="O286" i="14"/>
  <c r="N286" i="14"/>
  <c r="L286" i="14"/>
  <c r="K286" i="14"/>
  <c r="J286" i="14"/>
  <c r="B286" i="14"/>
  <c r="R285" i="14"/>
  <c r="Q285" i="14"/>
  <c r="P285" i="14"/>
  <c r="O285" i="14"/>
  <c r="N285" i="14"/>
  <c r="L285" i="14"/>
  <c r="K285" i="14"/>
  <c r="J285" i="14"/>
  <c r="B285" i="14"/>
  <c r="R284" i="14"/>
  <c r="Q284" i="14"/>
  <c r="P284" i="14"/>
  <c r="O284" i="14"/>
  <c r="N284" i="14"/>
  <c r="L284" i="14"/>
  <c r="K284" i="14"/>
  <c r="J284" i="14"/>
  <c r="B284" i="14"/>
  <c r="R283" i="14"/>
  <c r="Q283" i="14"/>
  <c r="P283" i="14"/>
  <c r="O283" i="14"/>
  <c r="N283" i="14"/>
  <c r="L283" i="14"/>
  <c r="K283" i="14"/>
  <c r="J283" i="14"/>
  <c r="B283" i="14"/>
  <c r="R282" i="14"/>
  <c r="Q282" i="14"/>
  <c r="P282" i="14"/>
  <c r="O282" i="14"/>
  <c r="N282" i="14"/>
  <c r="L282" i="14"/>
  <c r="K282" i="14"/>
  <c r="J282" i="14"/>
  <c r="B282" i="14"/>
  <c r="R281" i="14"/>
  <c r="Q281" i="14"/>
  <c r="P281" i="14"/>
  <c r="O281" i="14"/>
  <c r="N281" i="14"/>
  <c r="L281" i="14"/>
  <c r="K281" i="14"/>
  <c r="J281" i="14"/>
  <c r="B281" i="14"/>
  <c r="R280" i="14"/>
  <c r="Q280" i="14"/>
  <c r="P280" i="14"/>
  <c r="O280" i="14"/>
  <c r="N280" i="14"/>
  <c r="L280" i="14"/>
  <c r="K280" i="14"/>
  <c r="J280" i="14"/>
  <c r="B280" i="14"/>
  <c r="R279" i="14"/>
  <c r="Q279" i="14"/>
  <c r="P279" i="14"/>
  <c r="O279" i="14"/>
  <c r="N279" i="14"/>
  <c r="L279" i="14"/>
  <c r="K279" i="14"/>
  <c r="J279" i="14"/>
  <c r="B279" i="14"/>
  <c r="R278" i="14"/>
  <c r="Q278" i="14"/>
  <c r="P278" i="14"/>
  <c r="O278" i="14"/>
  <c r="N278" i="14"/>
  <c r="L278" i="14"/>
  <c r="K278" i="14"/>
  <c r="J278" i="14"/>
  <c r="B278" i="14"/>
  <c r="R277" i="14"/>
  <c r="Q277" i="14"/>
  <c r="P277" i="14"/>
  <c r="O277" i="14"/>
  <c r="N277" i="14"/>
  <c r="L277" i="14"/>
  <c r="K277" i="14"/>
  <c r="J277" i="14"/>
  <c r="B277" i="14"/>
  <c r="R276" i="14"/>
  <c r="Q276" i="14"/>
  <c r="P276" i="14"/>
  <c r="O276" i="14"/>
  <c r="N276" i="14"/>
  <c r="L276" i="14"/>
  <c r="K276" i="14"/>
  <c r="J276" i="14"/>
  <c r="B276" i="14"/>
  <c r="R275" i="14"/>
  <c r="Q275" i="14"/>
  <c r="P275" i="14"/>
  <c r="O275" i="14"/>
  <c r="N275" i="14"/>
  <c r="L275" i="14"/>
  <c r="K275" i="14"/>
  <c r="J275" i="14"/>
  <c r="B275" i="14"/>
  <c r="R274" i="14"/>
  <c r="Q274" i="14"/>
  <c r="P274" i="14"/>
  <c r="O274" i="14"/>
  <c r="N274" i="14"/>
  <c r="L274" i="14"/>
  <c r="K274" i="14"/>
  <c r="J274" i="14"/>
  <c r="B274" i="14"/>
  <c r="R273" i="14"/>
  <c r="Q273" i="14"/>
  <c r="P273" i="14"/>
  <c r="O273" i="14"/>
  <c r="N273" i="14"/>
  <c r="L273" i="14"/>
  <c r="K273" i="14"/>
  <c r="J273" i="14"/>
  <c r="B273" i="14"/>
  <c r="R272" i="14"/>
  <c r="Q272" i="14"/>
  <c r="P272" i="14"/>
  <c r="O272" i="14"/>
  <c r="N272" i="14"/>
  <c r="L272" i="14"/>
  <c r="K272" i="14"/>
  <c r="J272" i="14"/>
  <c r="B272" i="14"/>
  <c r="R271" i="14"/>
  <c r="Q271" i="14"/>
  <c r="P271" i="14"/>
  <c r="O271" i="14"/>
  <c r="N271" i="14"/>
  <c r="L271" i="14"/>
  <c r="K271" i="14"/>
  <c r="J271" i="14"/>
  <c r="B271" i="14"/>
  <c r="R270" i="14"/>
  <c r="Q270" i="14"/>
  <c r="P270" i="14"/>
  <c r="O270" i="14"/>
  <c r="N270" i="14"/>
  <c r="L270" i="14"/>
  <c r="K270" i="14"/>
  <c r="J270" i="14"/>
  <c r="B270" i="14"/>
  <c r="R269" i="14"/>
  <c r="Q269" i="14"/>
  <c r="P269" i="14"/>
  <c r="O269" i="14"/>
  <c r="N269" i="14"/>
  <c r="L269" i="14"/>
  <c r="K269" i="14"/>
  <c r="J269" i="14"/>
  <c r="B269" i="14"/>
  <c r="R268" i="14"/>
  <c r="Q268" i="14"/>
  <c r="P268" i="14"/>
  <c r="O268" i="14"/>
  <c r="N268" i="14"/>
  <c r="L268" i="14"/>
  <c r="K268" i="14"/>
  <c r="J268" i="14"/>
  <c r="B268" i="14"/>
  <c r="R267" i="14"/>
  <c r="Q267" i="14"/>
  <c r="P267" i="14"/>
  <c r="O267" i="14"/>
  <c r="N267" i="14"/>
  <c r="L267" i="14"/>
  <c r="K267" i="14"/>
  <c r="J267" i="14"/>
  <c r="B267" i="14"/>
  <c r="R266" i="14"/>
  <c r="Q266" i="14"/>
  <c r="P266" i="14"/>
  <c r="O266" i="14"/>
  <c r="N266" i="14"/>
  <c r="L266" i="14"/>
  <c r="K266" i="14"/>
  <c r="J266" i="14"/>
  <c r="B266" i="14"/>
  <c r="R265" i="14"/>
  <c r="Q265" i="14"/>
  <c r="P265" i="14"/>
  <c r="O265" i="14"/>
  <c r="N265" i="14"/>
  <c r="L265" i="14"/>
  <c r="K265" i="14"/>
  <c r="J265" i="14"/>
  <c r="B265" i="14"/>
  <c r="R264" i="14"/>
  <c r="Q264" i="14"/>
  <c r="P264" i="14"/>
  <c r="O264" i="14"/>
  <c r="N264" i="14"/>
  <c r="L264" i="14"/>
  <c r="K264" i="14"/>
  <c r="J264" i="14"/>
  <c r="B264" i="14"/>
  <c r="R263" i="14"/>
  <c r="Q263" i="14"/>
  <c r="P263" i="14"/>
  <c r="O263" i="14"/>
  <c r="N263" i="14"/>
  <c r="L263" i="14"/>
  <c r="K263" i="14"/>
  <c r="J263" i="14"/>
  <c r="B263" i="14"/>
  <c r="R262" i="14"/>
  <c r="Q262" i="14"/>
  <c r="P262" i="14"/>
  <c r="O262" i="14"/>
  <c r="N262" i="14"/>
  <c r="L262" i="14"/>
  <c r="K262" i="14"/>
  <c r="J262" i="14"/>
  <c r="B262" i="14"/>
  <c r="R261" i="14"/>
  <c r="Q261" i="14"/>
  <c r="P261" i="14"/>
  <c r="O261" i="14"/>
  <c r="N261" i="14"/>
  <c r="L261" i="14"/>
  <c r="K261" i="14"/>
  <c r="J261" i="14"/>
  <c r="B261" i="14"/>
  <c r="R260" i="14"/>
  <c r="Q260" i="14"/>
  <c r="P260" i="14"/>
  <c r="O260" i="14"/>
  <c r="N260" i="14"/>
  <c r="L260" i="14"/>
  <c r="K260" i="14"/>
  <c r="J260" i="14"/>
  <c r="B260" i="14"/>
  <c r="R259" i="14"/>
  <c r="Q259" i="14"/>
  <c r="P259" i="14"/>
  <c r="O259" i="14"/>
  <c r="N259" i="14"/>
  <c r="L259" i="14"/>
  <c r="K259" i="14"/>
  <c r="J259" i="14"/>
  <c r="B259" i="14"/>
  <c r="R258" i="14"/>
  <c r="Q258" i="14"/>
  <c r="P258" i="14"/>
  <c r="O258" i="14"/>
  <c r="N258" i="14"/>
  <c r="L258" i="14"/>
  <c r="K258" i="14"/>
  <c r="J258" i="14"/>
  <c r="B258" i="14"/>
  <c r="R257" i="14"/>
  <c r="Q257" i="14"/>
  <c r="P257" i="14"/>
  <c r="O257" i="14"/>
  <c r="N257" i="14"/>
  <c r="L257" i="14"/>
  <c r="K257" i="14"/>
  <c r="J257" i="14"/>
  <c r="B257" i="14"/>
  <c r="R256" i="14"/>
  <c r="Q256" i="14"/>
  <c r="P256" i="14"/>
  <c r="O256" i="14"/>
  <c r="N256" i="14"/>
  <c r="L256" i="14"/>
  <c r="K256" i="14"/>
  <c r="J256" i="14"/>
  <c r="B256" i="14"/>
  <c r="R255" i="14"/>
  <c r="Q255" i="14"/>
  <c r="P255" i="14"/>
  <c r="O255" i="14"/>
  <c r="N255" i="14"/>
  <c r="L255" i="14"/>
  <c r="K255" i="14"/>
  <c r="J255" i="14"/>
  <c r="B255" i="14"/>
  <c r="R254" i="14"/>
  <c r="Q254" i="14"/>
  <c r="P254" i="14"/>
  <c r="O254" i="14"/>
  <c r="N254" i="14"/>
  <c r="L254" i="14"/>
  <c r="K254" i="14"/>
  <c r="J254" i="14"/>
  <c r="B254" i="14"/>
  <c r="R253" i="14"/>
  <c r="Q253" i="14"/>
  <c r="P253" i="14"/>
  <c r="O253" i="14"/>
  <c r="N253" i="14"/>
  <c r="L253" i="14"/>
  <c r="K253" i="14"/>
  <c r="J253" i="14"/>
  <c r="B253" i="14"/>
  <c r="R252" i="14"/>
  <c r="Q252" i="14"/>
  <c r="P252" i="14"/>
  <c r="O252" i="14"/>
  <c r="N252" i="14"/>
  <c r="L252" i="14"/>
  <c r="K252" i="14"/>
  <c r="J252" i="14"/>
  <c r="B252" i="14"/>
  <c r="R251" i="14"/>
  <c r="Q251" i="14"/>
  <c r="P251" i="14"/>
  <c r="O251" i="14"/>
  <c r="N251" i="14"/>
  <c r="L251" i="14"/>
  <c r="K251" i="14"/>
  <c r="J251" i="14"/>
  <c r="B251" i="14"/>
  <c r="R250" i="14"/>
  <c r="Q250" i="14"/>
  <c r="P250" i="14"/>
  <c r="O250" i="14"/>
  <c r="N250" i="14"/>
  <c r="L250" i="14"/>
  <c r="K250" i="14"/>
  <c r="J250" i="14"/>
  <c r="B250" i="14"/>
  <c r="R249" i="14"/>
  <c r="Q249" i="14"/>
  <c r="P249" i="14"/>
  <c r="O249" i="14"/>
  <c r="N249" i="14"/>
  <c r="L249" i="14"/>
  <c r="K249" i="14"/>
  <c r="J249" i="14"/>
  <c r="B249" i="14"/>
  <c r="R248" i="14"/>
  <c r="Q248" i="14"/>
  <c r="P248" i="14"/>
  <c r="O248" i="14"/>
  <c r="N248" i="14"/>
  <c r="L248" i="14"/>
  <c r="K248" i="14"/>
  <c r="J248" i="14"/>
  <c r="B248" i="14"/>
  <c r="R247" i="14"/>
  <c r="Q247" i="14"/>
  <c r="P247" i="14"/>
  <c r="O247" i="14"/>
  <c r="N247" i="14"/>
  <c r="L247" i="14"/>
  <c r="K247" i="14"/>
  <c r="J247" i="14"/>
  <c r="B247" i="14"/>
  <c r="R246" i="14"/>
  <c r="Q246" i="14"/>
  <c r="P246" i="14"/>
  <c r="O246" i="14"/>
  <c r="N246" i="14"/>
  <c r="L246" i="14"/>
  <c r="K246" i="14"/>
  <c r="J246" i="14"/>
  <c r="B246" i="14"/>
  <c r="R245" i="14"/>
  <c r="Q245" i="14"/>
  <c r="P245" i="14"/>
  <c r="O245" i="14"/>
  <c r="N245" i="14"/>
  <c r="L245" i="14"/>
  <c r="K245" i="14"/>
  <c r="J245" i="14"/>
  <c r="B245" i="14"/>
  <c r="R244" i="14"/>
  <c r="Q244" i="14"/>
  <c r="P244" i="14"/>
  <c r="O244" i="14"/>
  <c r="N244" i="14"/>
  <c r="L244" i="14"/>
  <c r="K244" i="14"/>
  <c r="J244" i="14"/>
  <c r="B244" i="14"/>
  <c r="R243" i="14"/>
  <c r="Q243" i="14"/>
  <c r="P243" i="14"/>
  <c r="O243" i="14"/>
  <c r="N243" i="14"/>
  <c r="L243" i="14"/>
  <c r="K243" i="14"/>
  <c r="J243" i="14"/>
  <c r="B243" i="14"/>
  <c r="R242" i="14"/>
  <c r="Q242" i="14"/>
  <c r="P242" i="14"/>
  <c r="O242" i="14"/>
  <c r="N242" i="14"/>
  <c r="L242" i="14"/>
  <c r="K242" i="14"/>
  <c r="J242" i="14"/>
  <c r="B242" i="14"/>
  <c r="R241" i="14"/>
  <c r="Q241" i="14"/>
  <c r="P241" i="14"/>
  <c r="O241" i="14"/>
  <c r="N241" i="14"/>
  <c r="L241" i="14"/>
  <c r="K241" i="14"/>
  <c r="J241" i="14"/>
  <c r="B241" i="14"/>
  <c r="R240" i="14"/>
  <c r="Q240" i="14"/>
  <c r="P240" i="14"/>
  <c r="O240" i="14"/>
  <c r="N240" i="14"/>
  <c r="L240" i="14"/>
  <c r="K240" i="14"/>
  <c r="J240" i="14"/>
  <c r="B240" i="14"/>
  <c r="R239" i="14"/>
  <c r="Q239" i="14"/>
  <c r="P239" i="14"/>
  <c r="O239" i="14"/>
  <c r="N239" i="14"/>
  <c r="L239" i="14"/>
  <c r="K239" i="14"/>
  <c r="J239" i="14"/>
  <c r="B239" i="14"/>
  <c r="R238" i="14"/>
  <c r="Q238" i="14"/>
  <c r="P238" i="14"/>
  <c r="O238" i="14"/>
  <c r="N238" i="14"/>
  <c r="L238" i="14"/>
  <c r="K238" i="14"/>
  <c r="J238" i="14"/>
  <c r="B238" i="14"/>
  <c r="R237" i="14"/>
  <c r="Q237" i="14"/>
  <c r="P237" i="14"/>
  <c r="O237" i="14"/>
  <c r="N237" i="14"/>
  <c r="L237" i="14"/>
  <c r="K237" i="14"/>
  <c r="J237" i="14"/>
  <c r="B237" i="14"/>
  <c r="R236" i="14"/>
  <c r="Q236" i="14"/>
  <c r="P236" i="14"/>
  <c r="O236" i="14"/>
  <c r="N236" i="14"/>
  <c r="L236" i="14"/>
  <c r="K236" i="14"/>
  <c r="J236" i="14"/>
  <c r="B236" i="14"/>
  <c r="R235" i="14"/>
  <c r="Q235" i="14"/>
  <c r="P235" i="14"/>
  <c r="O235" i="14"/>
  <c r="N235" i="14"/>
  <c r="L235" i="14"/>
  <c r="K235" i="14"/>
  <c r="J235" i="14"/>
  <c r="B235" i="14"/>
  <c r="R234" i="14"/>
  <c r="Q234" i="14"/>
  <c r="P234" i="14"/>
  <c r="O234" i="14"/>
  <c r="N234" i="14"/>
  <c r="L234" i="14"/>
  <c r="K234" i="14"/>
  <c r="J234" i="14"/>
  <c r="B234" i="14"/>
  <c r="R233" i="14"/>
  <c r="Q233" i="14"/>
  <c r="P233" i="14"/>
  <c r="O233" i="14"/>
  <c r="N233" i="14"/>
  <c r="L233" i="14"/>
  <c r="K233" i="14"/>
  <c r="J233" i="14"/>
  <c r="B233" i="14"/>
  <c r="R232" i="14"/>
  <c r="Q232" i="14"/>
  <c r="P232" i="14"/>
  <c r="O232" i="14"/>
  <c r="N232" i="14"/>
  <c r="L232" i="14"/>
  <c r="K232" i="14"/>
  <c r="J232" i="14"/>
  <c r="B232" i="14"/>
  <c r="R231" i="14"/>
  <c r="Q231" i="14"/>
  <c r="P231" i="14"/>
  <c r="O231" i="14"/>
  <c r="N231" i="14"/>
  <c r="L231" i="14"/>
  <c r="K231" i="14"/>
  <c r="J231" i="14"/>
  <c r="B231" i="14"/>
  <c r="R230" i="14"/>
  <c r="Q230" i="14"/>
  <c r="P230" i="14"/>
  <c r="O230" i="14"/>
  <c r="N230" i="14"/>
  <c r="L230" i="14"/>
  <c r="K230" i="14"/>
  <c r="J230" i="14"/>
  <c r="B230" i="14"/>
  <c r="R229" i="14"/>
  <c r="Q229" i="14"/>
  <c r="P229" i="14"/>
  <c r="O229" i="14"/>
  <c r="N229" i="14"/>
  <c r="L229" i="14"/>
  <c r="K229" i="14"/>
  <c r="J229" i="14"/>
  <c r="B229" i="14"/>
  <c r="R228" i="14"/>
  <c r="Q228" i="14"/>
  <c r="P228" i="14"/>
  <c r="O228" i="14"/>
  <c r="N228" i="14"/>
  <c r="L228" i="14"/>
  <c r="K228" i="14"/>
  <c r="J228" i="14"/>
  <c r="B228" i="14"/>
  <c r="R227" i="14"/>
  <c r="Q227" i="14"/>
  <c r="P227" i="14"/>
  <c r="O227" i="14"/>
  <c r="N227" i="14"/>
  <c r="L227" i="14"/>
  <c r="K227" i="14"/>
  <c r="J227" i="14"/>
  <c r="B227" i="14"/>
  <c r="R226" i="14"/>
  <c r="Q226" i="14"/>
  <c r="P226" i="14"/>
  <c r="O226" i="14"/>
  <c r="N226" i="14"/>
  <c r="L226" i="14"/>
  <c r="K226" i="14"/>
  <c r="J226" i="14"/>
  <c r="B226" i="14"/>
  <c r="R225" i="14"/>
  <c r="Q225" i="14"/>
  <c r="P225" i="14"/>
  <c r="O225" i="14"/>
  <c r="N225" i="14"/>
  <c r="L225" i="14"/>
  <c r="K225" i="14"/>
  <c r="J225" i="14"/>
  <c r="B225" i="14"/>
  <c r="R224" i="14"/>
  <c r="Q224" i="14"/>
  <c r="P224" i="14"/>
  <c r="O224" i="14"/>
  <c r="N224" i="14"/>
  <c r="L224" i="14"/>
  <c r="K224" i="14"/>
  <c r="J224" i="14"/>
  <c r="B224" i="14"/>
  <c r="R223" i="14"/>
  <c r="Q223" i="14"/>
  <c r="P223" i="14"/>
  <c r="O223" i="14"/>
  <c r="N223" i="14"/>
  <c r="L223" i="14"/>
  <c r="K223" i="14"/>
  <c r="J223" i="14"/>
  <c r="B223" i="14"/>
  <c r="R222" i="14"/>
  <c r="Q222" i="14"/>
  <c r="P222" i="14"/>
  <c r="O222" i="14"/>
  <c r="N222" i="14"/>
  <c r="L222" i="14"/>
  <c r="K222" i="14"/>
  <c r="J222" i="14"/>
  <c r="B222" i="14"/>
  <c r="R221" i="14"/>
  <c r="Q221" i="14"/>
  <c r="P221" i="14"/>
  <c r="O221" i="14"/>
  <c r="N221" i="14"/>
  <c r="L221" i="14"/>
  <c r="K221" i="14"/>
  <c r="J221" i="14"/>
  <c r="B221" i="14"/>
  <c r="R220" i="14"/>
  <c r="Q220" i="14"/>
  <c r="P220" i="14"/>
  <c r="O220" i="14"/>
  <c r="N220" i="14"/>
  <c r="L220" i="14"/>
  <c r="K220" i="14"/>
  <c r="J220" i="14"/>
  <c r="B220" i="14"/>
  <c r="R219" i="14"/>
  <c r="Q219" i="14"/>
  <c r="P219" i="14"/>
  <c r="O219" i="14"/>
  <c r="N219" i="14"/>
  <c r="L219" i="14"/>
  <c r="K219" i="14"/>
  <c r="J219" i="14"/>
  <c r="B219" i="14"/>
  <c r="R218" i="14"/>
  <c r="Q218" i="14"/>
  <c r="P218" i="14"/>
  <c r="O218" i="14"/>
  <c r="N218" i="14"/>
  <c r="L218" i="14"/>
  <c r="K218" i="14"/>
  <c r="J218" i="14"/>
  <c r="B218" i="14"/>
  <c r="R217" i="14"/>
  <c r="Q217" i="14"/>
  <c r="P217" i="14"/>
  <c r="O217" i="14"/>
  <c r="N217" i="14"/>
  <c r="L217" i="14"/>
  <c r="K217" i="14"/>
  <c r="J217" i="14"/>
  <c r="B217" i="14"/>
  <c r="R216" i="14"/>
  <c r="Q216" i="14"/>
  <c r="P216" i="14"/>
  <c r="O216" i="14"/>
  <c r="N216" i="14"/>
  <c r="L216" i="14"/>
  <c r="K216" i="14"/>
  <c r="J216" i="14"/>
  <c r="B216" i="14"/>
  <c r="R215" i="14"/>
  <c r="Q215" i="14"/>
  <c r="P215" i="14"/>
  <c r="O215" i="14"/>
  <c r="N215" i="14"/>
  <c r="L215" i="14"/>
  <c r="K215" i="14"/>
  <c r="J215" i="14"/>
  <c r="B215" i="14"/>
  <c r="R214" i="14"/>
  <c r="Q214" i="14"/>
  <c r="P214" i="14"/>
  <c r="O214" i="14"/>
  <c r="N214" i="14"/>
  <c r="L214" i="14"/>
  <c r="K214" i="14"/>
  <c r="J214" i="14"/>
  <c r="B214" i="14"/>
  <c r="R213" i="14"/>
  <c r="Q213" i="14"/>
  <c r="P213" i="14"/>
  <c r="O213" i="14"/>
  <c r="N213" i="14"/>
  <c r="L213" i="14"/>
  <c r="K213" i="14"/>
  <c r="J213" i="14"/>
  <c r="B213" i="14"/>
  <c r="R212" i="14"/>
  <c r="Q212" i="14"/>
  <c r="P212" i="14"/>
  <c r="O212" i="14"/>
  <c r="N212" i="14"/>
  <c r="L212" i="14"/>
  <c r="K212" i="14"/>
  <c r="J212" i="14"/>
  <c r="B212" i="14"/>
  <c r="R211" i="14"/>
  <c r="Q211" i="14"/>
  <c r="P211" i="14"/>
  <c r="O211" i="14"/>
  <c r="N211" i="14"/>
  <c r="L211" i="14"/>
  <c r="K211" i="14"/>
  <c r="J211" i="14"/>
  <c r="B211" i="14"/>
  <c r="R210" i="14"/>
  <c r="Q210" i="14"/>
  <c r="P210" i="14"/>
  <c r="O210" i="14"/>
  <c r="N210" i="14"/>
  <c r="L210" i="14"/>
  <c r="K210" i="14"/>
  <c r="J210" i="14"/>
  <c r="B210" i="14"/>
  <c r="R209" i="14"/>
  <c r="Q209" i="14"/>
  <c r="P209" i="14"/>
  <c r="O209" i="14"/>
  <c r="N209" i="14"/>
  <c r="L209" i="14"/>
  <c r="K209" i="14"/>
  <c r="J209" i="14"/>
  <c r="B209" i="14"/>
  <c r="R208" i="14"/>
  <c r="Q208" i="14"/>
  <c r="P208" i="14"/>
  <c r="O208" i="14"/>
  <c r="N208" i="14"/>
  <c r="L208" i="14"/>
  <c r="K208" i="14"/>
  <c r="J208" i="14"/>
  <c r="B208" i="14"/>
  <c r="R207" i="14"/>
  <c r="Q207" i="14"/>
  <c r="P207" i="14"/>
  <c r="O207" i="14"/>
  <c r="N207" i="14"/>
  <c r="L207" i="14"/>
  <c r="K207" i="14"/>
  <c r="J207" i="14"/>
  <c r="B207" i="14"/>
  <c r="R206" i="14"/>
  <c r="Q206" i="14"/>
  <c r="P206" i="14"/>
  <c r="O206" i="14"/>
  <c r="N206" i="14"/>
  <c r="L206" i="14"/>
  <c r="K206" i="14"/>
  <c r="J206" i="14"/>
  <c r="B206" i="14"/>
  <c r="R205" i="14"/>
  <c r="Q205" i="14"/>
  <c r="P205" i="14"/>
  <c r="O205" i="14"/>
  <c r="N205" i="14"/>
  <c r="L205" i="14"/>
  <c r="K205" i="14"/>
  <c r="J205" i="14"/>
  <c r="B205" i="14"/>
  <c r="R204" i="14"/>
  <c r="Q204" i="14"/>
  <c r="P204" i="14"/>
  <c r="O204" i="14"/>
  <c r="N204" i="14"/>
  <c r="L204" i="14"/>
  <c r="K204" i="14"/>
  <c r="J204" i="14"/>
  <c r="B204" i="14"/>
  <c r="R203" i="14"/>
  <c r="Q203" i="14"/>
  <c r="P203" i="14"/>
  <c r="O203" i="14"/>
  <c r="N203" i="14"/>
  <c r="L203" i="14"/>
  <c r="K203" i="14"/>
  <c r="J203" i="14"/>
  <c r="B203" i="14"/>
  <c r="R202" i="14"/>
  <c r="Q202" i="14"/>
  <c r="P202" i="14"/>
  <c r="O202" i="14"/>
  <c r="N202" i="14"/>
  <c r="L202" i="14"/>
  <c r="K202" i="14"/>
  <c r="J202" i="14"/>
  <c r="B202" i="14"/>
  <c r="R201" i="14"/>
  <c r="Q201" i="14"/>
  <c r="P201" i="14"/>
  <c r="O201" i="14"/>
  <c r="N201" i="14"/>
  <c r="L201" i="14"/>
  <c r="K201" i="14"/>
  <c r="J201" i="14"/>
  <c r="B201" i="14"/>
  <c r="R200" i="14"/>
  <c r="Q200" i="14"/>
  <c r="P200" i="14"/>
  <c r="O200" i="14"/>
  <c r="N200" i="14"/>
  <c r="L200" i="14"/>
  <c r="K200" i="14"/>
  <c r="J200" i="14"/>
  <c r="B200" i="14"/>
  <c r="R199" i="14"/>
  <c r="Q199" i="14"/>
  <c r="P199" i="14"/>
  <c r="O199" i="14"/>
  <c r="N199" i="14"/>
  <c r="L199" i="14"/>
  <c r="K199" i="14"/>
  <c r="J199" i="14"/>
  <c r="B199" i="14"/>
  <c r="R198" i="14"/>
  <c r="Q198" i="14"/>
  <c r="P198" i="14"/>
  <c r="O198" i="14"/>
  <c r="N198" i="14"/>
  <c r="L198" i="14"/>
  <c r="K198" i="14"/>
  <c r="J198" i="14"/>
  <c r="B198" i="14"/>
  <c r="R197" i="14"/>
  <c r="Q197" i="14"/>
  <c r="P197" i="14"/>
  <c r="O197" i="14"/>
  <c r="N197" i="14"/>
  <c r="L197" i="14"/>
  <c r="K197" i="14"/>
  <c r="J197" i="14"/>
  <c r="B197" i="14"/>
  <c r="R196" i="14"/>
  <c r="Q196" i="14"/>
  <c r="P196" i="14"/>
  <c r="O196" i="14"/>
  <c r="N196" i="14"/>
  <c r="L196" i="14"/>
  <c r="K196" i="14"/>
  <c r="J196" i="14"/>
  <c r="B196" i="14"/>
  <c r="R195" i="14"/>
  <c r="Q195" i="14"/>
  <c r="P195" i="14"/>
  <c r="O195" i="14"/>
  <c r="N195" i="14"/>
  <c r="L195" i="14"/>
  <c r="K195" i="14"/>
  <c r="J195" i="14"/>
  <c r="B195" i="14"/>
  <c r="R194" i="14"/>
  <c r="Q194" i="14"/>
  <c r="P194" i="14"/>
  <c r="O194" i="14"/>
  <c r="N194" i="14"/>
  <c r="L194" i="14"/>
  <c r="K194" i="14"/>
  <c r="J194" i="14"/>
  <c r="B194" i="14"/>
  <c r="R193" i="14"/>
  <c r="Q193" i="14"/>
  <c r="P193" i="14"/>
  <c r="O193" i="14"/>
  <c r="N193" i="14"/>
  <c r="L193" i="14"/>
  <c r="K193" i="14"/>
  <c r="J193" i="14"/>
  <c r="B193" i="14"/>
  <c r="R192" i="14"/>
  <c r="Q192" i="14"/>
  <c r="P192" i="14"/>
  <c r="O192" i="14"/>
  <c r="N192" i="14"/>
  <c r="L192" i="14"/>
  <c r="K192" i="14"/>
  <c r="J192" i="14"/>
  <c r="B192" i="14"/>
  <c r="R191" i="14"/>
  <c r="Q191" i="14"/>
  <c r="P191" i="14"/>
  <c r="O191" i="14"/>
  <c r="N191" i="14"/>
  <c r="L191" i="14"/>
  <c r="K191" i="14"/>
  <c r="J191" i="14"/>
  <c r="B191" i="14"/>
  <c r="R190" i="14"/>
  <c r="Q190" i="14"/>
  <c r="P190" i="14"/>
  <c r="O190" i="14"/>
  <c r="N190" i="14"/>
  <c r="L190" i="14"/>
  <c r="K190" i="14"/>
  <c r="J190" i="14"/>
  <c r="B190" i="14"/>
  <c r="R189" i="14"/>
  <c r="Q189" i="14"/>
  <c r="P189" i="14"/>
  <c r="O189" i="14"/>
  <c r="N189" i="14"/>
  <c r="L189" i="14"/>
  <c r="K189" i="14"/>
  <c r="J189" i="14"/>
  <c r="B189" i="14"/>
  <c r="R188" i="14"/>
  <c r="Q188" i="14"/>
  <c r="P188" i="14"/>
  <c r="O188" i="14"/>
  <c r="N188" i="14"/>
  <c r="L188" i="14"/>
  <c r="K188" i="14"/>
  <c r="J188" i="14"/>
  <c r="B188" i="14"/>
  <c r="R187" i="14"/>
  <c r="Q187" i="14"/>
  <c r="P187" i="14"/>
  <c r="O187" i="14"/>
  <c r="N187" i="14"/>
  <c r="L187" i="14"/>
  <c r="K187" i="14"/>
  <c r="J187" i="14"/>
  <c r="B187" i="14"/>
  <c r="R186" i="14"/>
  <c r="Q186" i="14"/>
  <c r="P186" i="14"/>
  <c r="O186" i="14"/>
  <c r="N186" i="14"/>
  <c r="L186" i="14"/>
  <c r="K186" i="14"/>
  <c r="J186" i="14"/>
  <c r="B186" i="14"/>
  <c r="R185" i="14"/>
  <c r="Q185" i="14"/>
  <c r="P185" i="14"/>
  <c r="O185" i="14"/>
  <c r="N185" i="14"/>
  <c r="L185" i="14"/>
  <c r="K185" i="14"/>
  <c r="J185" i="14"/>
  <c r="B185" i="14"/>
  <c r="R184" i="14"/>
  <c r="Q184" i="14"/>
  <c r="P184" i="14"/>
  <c r="O184" i="14"/>
  <c r="N184" i="14"/>
  <c r="L184" i="14"/>
  <c r="K184" i="14"/>
  <c r="J184" i="14"/>
  <c r="B184" i="14"/>
  <c r="R183" i="14"/>
  <c r="Q183" i="14"/>
  <c r="P183" i="14"/>
  <c r="O183" i="14"/>
  <c r="N183" i="14"/>
  <c r="L183" i="14"/>
  <c r="K183" i="14"/>
  <c r="J183" i="14"/>
  <c r="B183" i="14"/>
  <c r="R182" i="14"/>
  <c r="Q182" i="14"/>
  <c r="P182" i="14"/>
  <c r="O182" i="14"/>
  <c r="N182" i="14"/>
  <c r="L182" i="14"/>
  <c r="K182" i="14"/>
  <c r="J182" i="14"/>
  <c r="B182" i="14"/>
  <c r="R181" i="14"/>
  <c r="Q181" i="14"/>
  <c r="P181" i="14"/>
  <c r="O181" i="14"/>
  <c r="N181" i="14"/>
  <c r="L181" i="14"/>
  <c r="K181" i="14"/>
  <c r="J181" i="14"/>
  <c r="B181" i="14"/>
  <c r="R180" i="14"/>
  <c r="Q180" i="14"/>
  <c r="P180" i="14"/>
  <c r="O180" i="14"/>
  <c r="N180" i="14"/>
  <c r="L180" i="14"/>
  <c r="K180" i="14"/>
  <c r="J180" i="14"/>
  <c r="B180" i="14"/>
  <c r="R179" i="14"/>
  <c r="Q179" i="14"/>
  <c r="P179" i="14"/>
  <c r="O179" i="14"/>
  <c r="N179" i="14"/>
  <c r="L179" i="14"/>
  <c r="K179" i="14"/>
  <c r="J179" i="14"/>
  <c r="B179" i="14"/>
  <c r="R178" i="14"/>
  <c r="Q178" i="14"/>
  <c r="P178" i="14"/>
  <c r="O178" i="14"/>
  <c r="N178" i="14"/>
  <c r="L178" i="14"/>
  <c r="K178" i="14"/>
  <c r="J178" i="14"/>
  <c r="B178" i="14"/>
  <c r="R177" i="14"/>
  <c r="Q177" i="14"/>
  <c r="P177" i="14"/>
  <c r="O177" i="14"/>
  <c r="N177" i="14"/>
  <c r="L177" i="14"/>
  <c r="K177" i="14"/>
  <c r="J177" i="14"/>
  <c r="B177" i="14"/>
  <c r="R176" i="14"/>
  <c r="Q176" i="14"/>
  <c r="P176" i="14"/>
  <c r="O176" i="14"/>
  <c r="N176" i="14"/>
  <c r="L176" i="14"/>
  <c r="K176" i="14"/>
  <c r="J176" i="14"/>
  <c r="B176" i="14"/>
  <c r="R175" i="14"/>
  <c r="Q175" i="14"/>
  <c r="P175" i="14"/>
  <c r="O175" i="14"/>
  <c r="N175" i="14"/>
  <c r="L175" i="14"/>
  <c r="K175" i="14"/>
  <c r="J175" i="14"/>
  <c r="B175" i="14"/>
  <c r="R174" i="14"/>
  <c r="Q174" i="14"/>
  <c r="P174" i="14"/>
  <c r="O174" i="14"/>
  <c r="N174" i="14"/>
  <c r="L174" i="14"/>
  <c r="K174" i="14"/>
  <c r="J174" i="14"/>
  <c r="B174" i="14"/>
  <c r="R173" i="14"/>
  <c r="Q173" i="14"/>
  <c r="P173" i="14"/>
  <c r="O173" i="14"/>
  <c r="N173" i="14"/>
  <c r="L173" i="14"/>
  <c r="K173" i="14"/>
  <c r="J173" i="14"/>
  <c r="B173" i="14"/>
  <c r="R172" i="14"/>
  <c r="Q172" i="14"/>
  <c r="P172" i="14"/>
  <c r="O172" i="14"/>
  <c r="N172" i="14"/>
  <c r="L172" i="14"/>
  <c r="K172" i="14"/>
  <c r="J172" i="14"/>
  <c r="B172" i="14"/>
  <c r="R171" i="14"/>
  <c r="Q171" i="14"/>
  <c r="P171" i="14"/>
  <c r="O171" i="14"/>
  <c r="N171" i="14"/>
  <c r="L171" i="14"/>
  <c r="K171" i="14"/>
  <c r="J171" i="14"/>
  <c r="B171" i="14"/>
  <c r="R170" i="14"/>
  <c r="Q170" i="14"/>
  <c r="P170" i="14"/>
  <c r="O170" i="14"/>
  <c r="N170" i="14"/>
  <c r="L170" i="14"/>
  <c r="K170" i="14"/>
  <c r="J170" i="14"/>
  <c r="B170" i="14"/>
  <c r="R169" i="14"/>
  <c r="Q169" i="14"/>
  <c r="P169" i="14"/>
  <c r="O169" i="14"/>
  <c r="N169" i="14"/>
  <c r="L169" i="14"/>
  <c r="K169" i="14"/>
  <c r="J169" i="14"/>
  <c r="B169" i="14"/>
  <c r="R168" i="14"/>
  <c r="Q168" i="14"/>
  <c r="P168" i="14"/>
  <c r="O168" i="14"/>
  <c r="N168" i="14"/>
  <c r="L168" i="14"/>
  <c r="K168" i="14"/>
  <c r="J168" i="14"/>
  <c r="B168" i="14"/>
  <c r="R167" i="14"/>
  <c r="Q167" i="14"/>
  <c r="P167" i="14"/>
  <c r="O167" i="14"/>
  <c r="N167" i="14"/>
  <c r="L167" i="14"/>
  <c r="K167" i="14"/>
  <c r="J167" i="14"/>
  <c r="B167" i="14"/>
  <c r="R166" i="14"/>
  <c r="Q166" i="14"/>
  <c r="P166" i="14"/>
  <c r="O166" i="14"/>
  <c r="N166" i="14"/>
  <c r="L166" i="14"/>
  <c r="K166" i="14"/>
  <c r="J166" i="14"/>
  <c r="B166" i="14"/>
  <c r="R165" i="14"/>
  <c r="Q165" i="14"/>
  <c r="P165" i="14"/>
  <c r="O165" i="14"/>
  <c r="N165" i="14"/>
  <c r="L165" i="14"/>
  <c r="K165" i="14"/>
  <c r="J165" i="14"/>
  <c r="B165" i="14"/>
  <c r="R164" i="14"/>
  <c r="Q164" i="14"/>
  <c r="P164" i="14"/>
  <c r="O164" i="14"/>
  <c r="N164" i="14"/>
  <c r="L164" i="14"/>
  <c r="K164" i="14"/>
  <c r="J164" i="14"/>
  <c r="B164" i="14"/>
  <c r="R163" i="14"/>
  <c r="Q163" i="14"/>
  <c r="P163" i="14"/>
  <c r="O163" i="14"/>
  <c r="N163" i="14"/>
  <c r="L163" i="14"/>
  <c r="K163" i="14"/>
  <c r="J163" i="14"/>
  <c r="B163" i="14"/>
  <c r="R162" i="14"/>
  <c r="Q162" i="14"/>
  <c r="P162" i="14"/>
  <c r="O162" i="14"/>
  <c r="N162" i="14"/>
  <c r="L162" i="14"/>
  <c r="K162" i="14"/>
  <c r="J162" i="14"/>
  <c r="B162" i="14"/>
  <c r="R161" i="14"/>
  <c r="Q161" i="14"/>
  <c r="P161" i="14"/>
  <c r="O161" i="14"/>
  <c r="N161" i="14"/>
  <c r="L161" i="14"/>
  <c r="K161" i="14"/>
  <c r="J161" i="14"/>
  <c r="B161" i="14"/>
  <c r="R160" i="14"/>
  <c r="Q160" i="14"/>
  <c r="P160" i="14"/>
  <c r="O160" i="14"/>
  <c r="N160" i="14"/>
  <c r="L160" i="14"/>
  <c r="K160" i="14"/>
  <c r="J160" i="14"/>
  <c r="B160" i="14"/>
  <c r="R159" i="14"/>
  <c r="Q159" i="14"/>
  <c r="P159" i="14"/>
  <c r="O159" i="14"/>
  <c r="N159" i="14"/>
  <c r="L159" i="14"/>
  <c r="K159" i="14"/>
  <c r="J159" i="14"/>
  <c r="B159" i="14"/>
  <c r="R158" i="14"/>
  <c r="Q158" i="14"/>
  <c r="P158" i="14"/>
  <c r="O158" i="14"/>
  <c r="N158" i="14"/>
  <c r="L158" i="14"/>
  <c r="K158" i="14"/>
  <c r="J158" i="14"/>
  <c r="B158" i="14"/>
  <c r="R157" i="14"/>
  <c r="Q157" i="14"/>
  <c r="P157" i="14"/>
  <c r="O157" i="14"/>
  <c r="N157" i="14"/>
  <c r="L157" i="14"/>
  <c r="K157" i="14"/>
  <c r="J157" i="14"/>
  <c r="B157" i="14"/>
  <c r="R156" i="14"/>
  <c r="Q156" i="14"/>
  <c r="P156" i="14"/>
  <c r="O156" i="14"/>
  <c r="N156" i="14"/>
  <c r="L156" i="14"/>
  <c r="K156" i="14"/>
  <c r="J156" i="14"/>
  <c r="B156" i="14"/>
  <c r="R155" i="14"/>
  <c r="Q155" i="14"/>
  <c r="P155" i="14"/>
  <c r="O155" i="14"/>
  <c r="N155" i="14"/>
  <c r="L155" i="14"/>
  <c r="K155" i="14"/>
  <c r="J155" i="14"/>
  <c r="B155" i="14"/>
  <c r="R154" i="14"/>
  <c r="Q154" i="14"/>
  <c r="P154" i="14"/>
  <c r="O154" i="14"/>
  <c r="N154" i="14"/>
  <c r="L154" i="14"/>
  <c r="K154" i="14"/>
  <c r="J154" i="14"/>
  <c r="B154" i="14"/>
  <c r="R153" i="14"/>
  <c r="Q153" i="14"/>
  <c r="P153" i="14"/>
  <c r="O153" i="14"/>
  <c r="N153" i="14"/>
  <c r="L153" i="14"/>
  <c r="K153" i="14"/>
  <c r="J153" i="14"/>
  <c r="B153" i="14"/>
  <c r="R152" i="14"/>
  <c r="Q152" i="14"/>
  <c r="P152" i="14"/>
  <c r="O152" i="14"/>
  <c r="N152" i="14"/>
  <c r="L152" i="14"/>
  <c r="K152" i="14"/>
  <c r="J152" i="14"/>
  <c r="B152" i="14"/>
  <c r="R151" i="14"/>
  <c r="Q151" i="14"/>
  <c r="P151" i="14"/>
  <c r="O151" i="14"/>
  <c r="N151" i="14"/>
  <c r="L151" i="14"/>
  <c r="K151" i="14"/>
  <c r="J151" i="14"/>
  <c r="B151" i="14"/>
  <c r="R150" i="14"/>
  <c r="Q150" i="14"/>
  <c r="P150" i="14"/>
  <c r="O150" i="14"/>
  <c r="N150" i="14"/>
  <c r="L150" i="14"/>
  <c r="K150" i="14"/>
  <c r="J150" i="14"/>
  <c r="B150" i="14"/>
  <c r="R149" i="14"/>
  <c r="Q149" i="14"/>
  <c r="P149" i="14"/>
  <c r="O149" i="14"/>
  <c r="N149" i="14"/>
  <c r="L149" i="14"/>
  <c r="K149" i="14"/>
  <c r="J149" i="14"/>
  <c r="B149" i="14"/>
  <c r="R148" i="14"/>
  <c r="Q148" i="14"/>
  <c r="P148" i="14"/>
  <c r="O148" i="14"/>
  <c r="N148" i="14"/>
  <c r="L148" i="14"/>
  <c r="K148" i="14"/>
  <c r="J148" i="14"/>
  <c r="B148" i="14"/>
  <c r="R147" i="14"/>
  <c r="Q147" i="14"/>
  <c r="P147" i="14"/>
  <c r="O147" i="14"/>
  <c r="N147" i="14"/>
  <c r="L147" i="14"/>
  <c r="K147" i="14"/>
  <c r="J147" i="14"/>
  <c r="B147" i="14"/>
  <c r="R146" i="14"/>
  <c r="Q146" i="14"/>
  <c r="P146" i="14"/>
  <c r="O146" i="14"/>
  <c r="N146" i="14"/>
  <c r="L146" i="14"/>
  <c r="K146" i="14"/>
  <c r="J146" i="14"/>
  <c r="B146" i="14"/>
  <c r="R145" i="14"/>
  <c r="Q145" i="14"/>
  <c r="P145" i="14"/>
  <c r="O145" i="14"/>
  <c r="N145" i="14"/>
  <c r="L145" i="14"/>
  <c r="K145" i="14"/>
  <c r="J145" i="14"/>
  <c r="B145" i="14"/>
  <c r="R144" i="14"/>
  <c r="Q144" i="14"/>
  <c r="P144" i="14"/>
  <c r="O144" i="14"/>
  <c r="N144" i="14"/>
  <c r="L144" i="14"/>
  <c r="K144" i="14"/>
  <c r="J144" i="14"/>
  <c r="B144" i="14"/>
  <c r="R143" i="14"/>
  <c r="Q143" i="14"/>
  <c r="P143" i="14"/>
  <c r="O143" i="14"/>
  <c r="N143" i="14"/>
  <c r="L143" i="14"/>
  <c r="K143" i="14"/>
  <c r="J143" i="14"/>
  <c r="B143" i="14"/>
  <c r="R142" i="14"/>
  <c r="Q142" i="14"/>
  <c r="P142" i="14"/>
  <c r="O142" i="14"/>
  <c r="N142" i="14"/>
  <c r="L142" i="14"/>
  <c r="K142" i="14"/>
  <c r="J142" i="14"/>
  <c r="B142" i="14"/>
  <c r="R141" i="14"/>
  <c r="Q141" i="14"/>
  <c r="P141" i="14"/>
  <c r="O141" i="14"/>
  <c r="N141" i="14"/>
  <c r="L141" i="14"/>
  <c r="K141" i="14"/>
  <c r="J141" i="14"/>
  <c r="B141" i="14"/>
  <c r="R140" i="14"/>
  <c r="Q140" i="14"/>
  <c r="P140" i="14"/>
  <c r="O140" i="14"/>
  <c r="N140" i="14"/>
  <c r="L140" i="14"/>
  <c r="K140" i="14"/>
  <c r="J140" i="14"/>
  <c r="B140" i="14"/>
  <c r="R139" i="14"/>
  <c r="Q139" i="14"/>
  <c r="P139" i="14"/>
  <c r="O139" i="14"/>
  <c r="N139" i="14"/>
  <c r="L139" i="14"/>
  <c r="K139" i="14"/>
  <c r="J139" i="14"/>
  <c r="B139" i="14"/>
  <c r="R138" i="14"/>
  <c r="Q138" i="14"/>
  <c r="P138" i="14"/>
  <c r="O138" i="14"/>
  <c r="N138" i="14"/>
  <c r="L138" i="14"/>
  <c r="K138" i="14"/>
  <c r="J138" i="14"/>
  <c r="B138" i="14"/>
  <c r="R137" i="14"/>
  <c r="Q137" i="14"/>
  <c r="P137" i="14"/>
  <c r="O137" i="14"/>
  <c r="N137" i="14"/>
  <c r="L137" i="14"/>
  <c r="K137" i="14"/>
  <c r="J137" i="14"/>
  <c r="B137" i="14"/>
  <c r="R136" i="14"/>
  <c r="Q136" i="14"/>
  <c r="P136" i="14"/>
  <c r="O136" i="14"/>
  <c r="N136" i="14"/>
  <c r="L136" i="14"/>
  <c r="K136" i="14"/>
  <c r="J136" i="14"/>
  <c r="B136" i="14"/>
  <c r="R135" i="14"/>
  <c r="Q135" i="14"/>
  <c r="P135" i="14"/>
  <c r="O135" i="14"/>
  <c r="N135" i="14"/>
  <c r="L135" i="14"/>
  <c r="K135" i="14"/>
  <c r="J135" i="14"/>
  <c r="B135" i="14"/>
  <c r="R134" i="14"/>
  <c r="Q134" i="14"/>
  <c r="P134" i="14"/>
  <c r="O134" i="14"/>
  <c r="N134" i="14"/>
  <c r="L134" i="14"/>
  <c r="K134" i="14"/>
  <c r="J134" i="14"/>
  <c r="B134" i="14"/>
  <c r="R133" i="14"/>
  <c r="Q133" i="14"/>
  <c r="P133" i="14"/>
  <c r="O133" i="14"/>
  <c r="N133" i="14"/>
  <c r="L133" i="14"/>
  <c r="K133" i="14"/>
  <c r="J133" i="14"/>
  <c r="B133" i="14"/>
  <c r="R132" i="14"/>
  <c r="Q132" i="14"/>
  <c r="P132" i="14"/>
  <c r="O132" i="14"/>
  <c r="N132" i="14"/>
  <c r="L132" i="14"/>
  <c r="K132" i="14"/>
  <c r="J132" i="14"/>
  <c r="B132" i="14"/>
  <c r="R131" i="14"/>
  <c r="Q131" i="14"/>
  <c r="P131" i="14"/>
  <c r="O131" i="14"/>
  <c r="N131" i="14"/>
  <c r="L131" i="14"/>
  <c r="K131" i="14"/>
  <c r="J131" i="14"/>
  <c r="B131" i="14"/>
  <c r="R130" i="14"/>
  <c r="Q130" i="14"/>
  <c r="P130" i="14"/>
  <c r="O130" i="14"/>
  <c r="N130" i="14"/>
  <c r="L130" i="14"/>
  <c r="K130" i="14"/>
  <c r="J130" i="14"/>
  <c r="B130" i="14"/>
  <c r="R129" i="14"/>
  <c r="Q129" i="14"/>
  <c r="P129" i="14"/>
  <c r="O129" i="14"/>
  <c r="N129" i="14"/>
  <c r="L129" i="14"/>
  <c r="K129" i="14"/>
  <c r="J129" i="14"/>
  <c r="B129" i="14"/>
  <c r="R128" i="14"/>
  <c r="Q128" i="14"/>
  <c r="P128" i="14"/>
  <c r="O128" i="14"/>
  <c r="N128" i="14"/>
  <c r="L128" i="14"/>
  <c r="K128" i="14"/>
  <c r="J128" i="14"/>
  <c r="B128" i="14"/>
  <c r="R127" i="14"/>
  <c r="Q127" i="14"/>
  <c r="P127" i="14"/>
  <c r="O127" i="14"/>
  <c r="N127" i="14"/>
  <c r="L127" i="14"/>
  <c r="K127" i="14"/>
  <c r="J127" i="14"/>
  <c r="B127" i="14"/>
  <c r="R126" i="14"/>
  <c r="Q126" i="14"/>
  <c r="P126" i="14"/>
  <c r="O126" i="14"/>
  <c r="N126" i="14"/>
  <c r="L126" i="14"/>
  <c r="K126" i="14"/>
  <c r="J126" i="14"/>
  <c r="B126" i="14"/>
  <c r="R125" i="14"/>
  <c r="Q125" i="14"/>
  <c r="P125" i="14"/>
  <c r="O125" i="14"/>
  <c r="N125" i="14"/>
  <c r="L125" i="14"/>
  <c r="K125" i="14"/>
  <c r="J125" i="14"/>
  <c r="B125" i="14"/>
  <c r="R124" i="14"/>
  <c r="Q124" i="14"/>
  <c r="P124" i="14"/>
  <c r="O124" i="14"/>
  <c r="N124" i="14"/>
  <c r="L124" i="14"/>
  <c r="K124" i="14"/>
  <c r="J124" i="14"/>
  <c r="B124" i="14"/>
  <c r="R123" i="14"/>
  <c r="Q123" i="14"/>
  <c r="P123" i="14"/>
  <c r="O123" i="14"/>
  <c r="N123" i="14"/>
  <c r="L123" i="14"/>
  <c r="K123" i="14"/>
  <c r="J123" i="14"/>
  <c r="B123" i="14"/>
  <c r="R122" i="14"/>
  <c r="Q122" i="14"/>
  <c r="P122" i="14"/>
  <c r="O122" i="14"/>
  <c r="N122" i="14"/>
  <c r="L122" i="14"/>
  <c r="K122" i="14"/>
  <c r="J122" i="14"/>
  <c r="B122" i="14"/>
  <c r="R121" i="14"/>
  <c r="Q121" i="14"/>
  <c r="P121" i="14"/>
  <c r="O121" i="14"/>
  <c r="N121" i="14"/>
  <c r="L121" i="14"/>
  <c r="K121" i="14"/>
  <c r="J121" i="14"/>
  <c r="B121" i="14"/>
  <c r="R120" i="14"/>
  <c r="Q120" i="14"/>
  <c r="P120" i="14"/>
  <c r="O120" i="14"/>
  <c r="N120" i="14"/>
  <c r="L120" i="14"/>
  <c r="K120" i="14"/>
  <c r="J120" i="14"/>
  <c r="B120" i="14"/>
  <c r="R119" i="14"/>
  <c r="Q119" i="14"/>
  <c r="P119" i="14"/>
  <c r="O119" i="14"/>
  <c r="N119" i="14"/>
  <c r="L119" i="14"/>
  <c r="K119" i="14"/>
  <c r="J119" i="14"/>
  <c r="B119" i="14"/>
  <c r="R118" i="14"/>
  <c r="Q118" i="14"/>
  <c r="P118" i="14"/>
  <c r="O118" i="14"/>
  <c r="N118" i="14"/>
  <c r="L118" i="14"/>
  <c r="K118" i="14"/>
  <c r="J118" i="14"/>
  <c r="B118" i="14"/>
  <c r="R117" i="14"/>
  <c r="Q117" i="14"/>
  <c r="P117" i="14"/>
  <c r="O117" i="14"/>
  <c r="N117" i="14"/>
  <c r="L117" i="14"/>
  <c r="K117" i="14"/>
  <c r="J117" i="14"/>
  <c r="B117" i="14"/>
  <c r="R116" i="14"/>
  <c r="Q116" i="14"/>
  <c r="P116" i="14"/>
  <c r="O116" i="14"/>
  <c r="N116" i="14"/>
  <c r="L116" i="14"/>
  <c r="K116" i="14"/>
  <c r="J116" i="14"/>
  <c r="B116" i="14"/>
  <c r="R115" i="14"/>
  <c r="Q115" i="14"/>
  <c r="P115" i="14"/>
  <c r="O115" i="14"/>
  <c r="N115" i="14"/>
  <c r="L115" i="14"/>
  <c r="K115" i="14"/>
  <c r="J115" i="14"/>
  <c r="B115" i="14"/>
  <c r="R114" i="14"/>
  <c r="Q114" i="14"/>
  <c r="P114" i="14"/>
  <c r="O114" i="14"/>
  <c r="N114" i="14"/>
  <c r="L114" i="14"/>
  <c r="K114" i="14"/>
  <c r="J114" i="14"/>
  <c r="B114" i="14"/>
  <c r="R113" i="14"/>
  <c r="Q113" i="14"/>
  <c r="P113" i="14"/>
  <c r="O113" i="14"/>
  <c r="N113" i="14"/>
  <c r="L113" i="14"/>
  <c r="K113" i="14"/>
  <c r="J113" i="14"/>
  <c r="B113" i="14"/>
  <c r="R112" i="14"/>
  <c r="Q112" i="14"/>
  <c r="P112" i="14"/>
  <c r="O112" i="14"/>
  <c r="N112" i="14"/>
  <c r="L112" i="14"/>
  <c r="K112" i="14"/>
  <c r="J112" i="14"/>
  <c r="B112" i="14"/>
  <c r="R111" i="14"/>
  <c r="Q111" i="14"/>
  <c r="P111" i="14"/>
  <c r="O111" i="14"/>
  <c r="N111" i="14"/>
  <c r="L111" i="14"/>
  <c r="K111" i="14"/>
  <c r="J111" i="14"/>
  <c r="B111" i="14"/>
  <c r="R110" i="14"/>
  <c r="Q110" i="14"/>
  <c r="P110" i="14"/>
  <c r="O110" i="14"/>
  <c r="N110" i="14"/>
  <c r="L110" i="14"/>
  <c r="K110" i="14"/>
  <c r="J110" i="14"/>
  <c r="B110" i="14"/>
  <c r="R109" i="14"/>
  <c r="Q109" i="14"/>
  <c r="P109" i="14"/>
  <c r="O109" i="14"/>
  <c r="N109" i="14"/>
  <c r="L109" i="14"/>
  <c r="K109" i="14"/>
  <c r="J109" i="14"/>
  <c r="B109" i="14"/>
  <c r="R108" i="14"/>
  <c r="Q108" i="14"/>
  <c r="P108" i="14"/>
  <c r="O108" i="14"/>
  <c r="N108" i="14"/>
  <c r="L108" i="14"/>
  <c r="K108" i="14"/>
  <c r="J108" i="14"/>
  <c r="B108" i="14"/>
  <c r="R107" i="14"/>
  <c r="Q107" i="14"/>
  <c r="P107" i="14"/>
  <c r="O107" i="14"/>
  <c r="N107" i="14"/>
  <c r="L107" i="14"/>
  <c r="K107" i="14"/>
  <c r="J107" i="14"/>
  <c r="B107" i="14"/>
  <c r="R106" i="14"/>
  <c r="Q106" i="14"/>
  <c r="P106" i="14"/>
  <c r="O106" i="14"/>
  <c r="N106" i="14"/>
  <c r="L106" i="14"/>
  <c r="K106" i="14"/>
  <c r="J106" i="14"/>
  <c r="B106" i="14"/>
  <c r="R105" i="14"/>
  <c r="Q105" i="14"/>
  <c r="P105" i="14"/>
  <c r="O105" i="14"/>
  <c r="N105" i="14"/>
  <c r="L105" i="14"/>
  <c r="K105" i="14"/>
  <c r="J105" i="14"/>
  <c r="B105" i="14"/>
  <c r="R104" i="14"/>
  <c r="Q104" i="14"/>
  <c r="P104" i="14"/>
  <c r="O104" i="14"/>
  <c r="N104" i="14"/>
  <c r="L104" i="14"/>
  <c r="K104" i="14"/>
  <c r="J104" i="14"/>
  <c r="B104" i="14"/>
  <c r="R103" i="14"/>
  <c r="Q103" i="14"/>
  <c r="P103" i="14"/>
  <c r="O103" i="14"/>
  <c r="N103" i="14"/>
  <c r="L103" i="14"/>
  <c r="K103" i="14"/>
  <c r="J103" i="14"/>
  <c r="B103" i="14"/>
  <c r="R102" i="14"/>
  <c r="Q102" i="14"/>
  <c r="P102" i="14"/>
  <c r="O102" i="14"/>
  <c r="N102" i="14"/>
  <c r="L102" i="14"/>
  <c r="K102" i="14"/>
  <c r="J102" i="14"/>
  <c r="B102" i="14"/>
  <c r="R101" i="14"/>
  <c r="Q101" i="14"/>
  <c r="P101" i="14"/>
  <c r="O101" i="14"/>
  <c r="N101" i="14"/>
  <c r="L101" i="14"/>
  <c r="K101" i="14"/>
  <c r="J101" i="14"/>
  <c r="B101" i="14"/>
  <c r="R100" i="14"/>
  <c r="Q100" i="14"/>
  <c r="P100" i="14"/>
  <c r="O100" i="14"/>
  <c r="N100" i="14"/>
  <c r="L100" i="14"/>
  <c r="K100" i="14"/>
  <c r="J100" i="14"/>
  <c r="B100" i="14"/>
  <c r="R99" i="14"/>
  <c r="Q99" i="14"/>
  <c r="P99" i="14"/>
  <c r="O99" i="14"/>
  <c r="N99" i="14"/>
  <c r="L99" i="14"/>
  <c r="K99" i="14"/>
  <c r="J99" i="14"/>
  <c r="B99" i="14"/>
  <c r="R98" i="14"/>
  <c r="Q98" i="14"/>
  <c r="P98" i="14"/>
  <c r="O98" i="14"/>
  <c r="N98" i="14"/>
  <c r="L98" i="14"/>
  <c r="K98" i="14"/>
  <c r="J98" i="14"/>
  <c r="B98" i="14"/>
  <c r="R97" i="14"/>
  <c r="Q97" i="14"/>
  <c r="P97" i="14"/>
  <c r="O97" i="14"/>
  <c r="N97" i="14"/>
  <c r="L97" i="14"/>
  <c r="K97" i="14"/>
  <c r="J97" i="14"/>
  <c r="B97" i="14"/>
  <c r="R96" i="14"/>
  <c r="Q96" i="14"/>
  <c r="P96" i="14"/>
  <c r="O96" i="14"/>
  <c r="N96" i="14"/>
  <c r="L96" i="14"/>
  <c r="K96" i="14"/>
  <c r="J96" i="14"/>
  <c r="B96" i="14"/>
  <c r="R95" i="14"/>
  <c r="Q95" i="14"/>
  <c r="P95" i="14"/>
  <c r="O95" i="14"/>
  <c r="N95" i="14"/>
  <c r="L95" i="14"/>
  <c r="K95" i="14"/>
  <c r="J95" i="14"/>
  <c r="B95" i="14"/>
  <c r="R94" i="14"/>
  <c r="Q94" i="14"/>
  <c r="P94" i="14"/>
  <c r="O94" i="14"/>
  <c r="N94" i="14"/>
  <c r="L94" i="14"/>
  <c r="K94" i="14"/>
  <c r="J94" i="14"/>
  <c r="B94" i="14"/>
  <c r="R93" i="14"/>
  <c r="Q93" i="14"/>
  <c r="P93" i="14"/>
  <c r="O93" i="14"/>
  <c r="N93" i="14"/>
  <c r="L93" i="14"/>
  <c r="K93" i="14"/>
  <c r="J93" i="14"/>
  <c r="B93" i="14"/>
  <c r="R92" i="14"/>
  <c r="Q92" i="14"/>
  <c r="P92" i="14"/>
  <c r="O92" i="14"/>
  <c r="N92" i="14"/>
  <c r="L92" i="14"/>
  <c r="K92" i="14"/>
  <c r="J92" i="14"/>
  <c r="B92" i="14"/>
  <c r="R91" i="14"/>
  <c r="Q91" i="14"/>
  <c r="P91" i="14"/>
  <c r="O91" i="14"/>
  <c r="N91" i="14"/>
  <c r="L91" i="14"/>
  <c r="K91" i="14"/>
  <c r="J91" i="14"/>
  <c r="B91" i="14"/>
  <c r="R90" i="14"/>
  <c r="Q90" i="14"/>
  <c r="P90" i="14"/>
  <c r="O90" i="14"/>
  <c r="N90" i="14"/>
  <c r="L90" i="14"/>
  <c r="K90" i="14"/>
  <c r="J90" i="14"/>
  <c r="B90" i="14"/>
  <c r="R89" i="14"/>
  <c r="Q89" i="14"/>
  <c r="P89" i="14"/>
  <c r="O89" i="14"/>
  <c r="N89" i="14"/>
  <c r="L89" i="14"/>
  <c r="K89" i="14"/>
  <c r="J89" i="14"/>
  <c r="B89" i="14"/>
  <c r="R88" i="14"/>
  <c r="Q88" i="14"/>
  <c r="P88" i="14"/>
  <c r="O88" i="14"/>
  <c r="N88" i="14"/>
  <c r="L88" i="14"/>
  <c r="K88" i="14"/>
  <c r="J88" i="14"/>
  <c r="B88" i="14"/>
  <c r="R87" i="14"/>
  <c r="Q87" i="14"/>
  <c r="P87" i="14"/>
  <c r="O87" i="14"/>
  <c r="N87" i="14"/>
  <c r="L87" i="14"/>
  <c r="K87" i="14"/>
  <c r="J87" i="14"/>
  <c r="B87" i="14"/>
  <c r="R86" i="14"/>
  <c r="Q86" i="14"/>
  <c r="P86" i="14"/>
  <c r="O86" i="14"/>
  <c r="N86" i="14"/>
  <c r="L86" i="14"/>
  <c r="K86" i="14"/>
  <c r="J86" i="14"/>
  <c r="B86" i="14"/>
  <c r="R85" i="14"/>
  <c r="Q85" i="14"/>
  <c r="P85" i="14"/>
  <c r="O85" i="14"/>
  <c r="N85" i="14"/>
  <c r="L85" i="14"/>
  <c r="K85" i="14"/>
  <c r="J85" i="14"/>
  <c r="B85" i="14"/>
  <c r="R84" i="14"/>
  <c r="Q84" i="14"/>
  <c r="P84" i="14"/>
  <c r="O84" i="14"/>
  <c r="N84" i="14"/>
  <c r="L84" i="14"/>
  <c r="K84" i="14"/>
  <c r="J84" i="14"/>
  <c r="B84" i="14"/>
  <c r="R83" i="14"/>
  <c r="Q83" i="14"/>
  <c r="P83" i="14"/>
  <c r="O83" i="14"/>
  <c r="N83" i="14"/>
  <c r="L83" i="14"/>
  <c r="K83" i="14"/>
  <c r="J83" i="14"/>
  <c r="B83" i="14"/>
  <c r="R82" i="14"/>
  <c r="Q82" i="14"/>
  <c r="P82" i="14"/>
  <c r="O82" i="14"/>
  <c r="N82" i="14"/>
  <c r="L82" i="14"/>
  <c r="K82" i="14"/>
  <c r="J82" i="14"/>
  <c r="B82" i="14"/>
  <c r="R81" i="14"/>
  <c r="Q81" i="14"/>
  <c r="P81" i="14"/>
  <c r="O81" i="14"/>
  <c r="N81" i="14"/>
  <c r="L81" i="14"/>
  <c r="K81" i="14"/>
  <c r="J81" i="14"/>
  <c r="B81" i="14"/>
  <c r="R80" i="14"/>
  <c r="Q80" i="14"/>
  <c r="P80" i="14"/>
  <c r="O80" i="14"/>
  <c r="N80" i="14"/>
  <c r="L80" i="14"/>
  <c r="K80" i="14"/>
  <c r="J80" i="14"/>
  <c r="B80" i="14"/>
  <c r="R79" i="14"/>
  <c r="Q79" i="14"/>
  <c r="P79" i="14"/>
  <c r="O79" i="14"/>
  <c r="N79" i="14"/>
  <c r="L79" i="14"/>
  <c r="K79" i="14"/>
  <c r="J79" i="14"/>
  <c r="B79" i="14"/>
  <c r="R78" i="14"/>
  <c r="Q78" i="14"/>
  <c r="P78" i="14"/>
  <c r="O78" i="14"/>
  <c r="N78" i="14"/>
  <c r="L78" i="14"/>
  <c r="K78" i="14"/>
  <c r="J78" i="14"/>
  <c r="B78" i="14"/>
  <c r="R77" i="14"/>
  <c r="Q77" i="14"/>
  <c r="P77" i="14"/>
  <c r="O77" i="14"/>
  <c r="N77" i="14"/>
  <c r="L77" i="14"/>
  <c r="K77" i="14"/>
  <c r="J77" i="14"/>
  <c r="B77" i="14"/>
  <c r="R76" i="14"/>
  <c r="Q76" i="14"/>
  <c r="P76" i="14"/>
  <c r="O76" i="14"/>
  <c r="N76" i="14"/>
  <c r="L76" i="14"/>
  <c r="K76" i="14"/>
  <c r="J76" i="14"/>
  <c r="B76" i="14"/>
  <c r="R75" i="14"/>
  <c r="Q75" i="14"/>
  <c r="P75" i="14"/>
  <c r="O75" i="14"/>
  <c r="N75" i="14"/>
  <c r="L75" i="14"/>
  <c r="K75" i="14"/>
  <c r="J75" i="14"/>
  <c r="B75" i="14"/>
  <c r="R74" i="14"/>
  <c r="Q74" i="14"/>
  <c r="P74" i="14"/>
  <c r="O74" i="14"/>
  <c r="N74" i="14"/>
  <c r="L74" i="14"/>
  <c r="K74" i="14"/>
  <c r="J74" i="14"/>
  <c r="B74" i="14"/>
  <c r="R73" i="14"/>
  <c r="Q73" i="14"/>
  <c r="P73" i="14"/>
  <c r="O73" i="14"/>
  <c r="N73" i="14"/>
  <c r="L73" i="14"/>
  <c r="K73" i="14"/>
  <c r="J73" i="14"/>
  <c r="B73" i="14"/>
  <c r="R72" i="14"/>
  <c r="Q72" i="14"/>
  <c r="P72" i="14"/>
  <c r="O72" i="14"/>
  <c r="N72" i="14"/>
  <c r="L72" i="14"/>
  <c r="K72" i="14"/>
  <c r="J72" i="14"/>
  <c r="B72" i="14"/>
  <c r="R71" i="14"/>
  <c r="Q71" i="14"/>
  <c r="P71" i="14"/>
  <c r="O71" i="14"/>
  <c r="N71" i="14"/>
  <c r="L71" i="14"/>
  <c r="K71" i="14"/>
  <c r="J71" i="14"/>
  <c r="B71" i="14"/>
  <c r="R70" i="14"/>
  <c r="Q70" i="14"/>
  <c r="P70" i="14"/>
  <c r="O70" i="14"/>
  <c r="N70" i="14"/>
  <c r="L70" i="14"/>
  <c r="K70" i="14"/>
  <c r="J70" i="14"/>
  <c r="B70" i="14"/>
  <c r="R69" i="14"/>
  <c r="Q69" i="14"/>
  <c r="P69" i="14"/>
  <c r="O69" i="14"/>
  <c r="N69" i="14"/>
  <c r="L69" i="14"/>
  <c r="K69" i="14"/>
  <c r="J69" i="14"/>
  <c r="B69" i="14"/>
  <c r="R68" i="14"/>
  <c r="Q68" i="14"/>
  <c r="P68" i="14"/>
  <c r="O68" i="14"/>
  <c r="N68" i="14"/>
  <c r="L68" i="14"/>
  <c r="K68" i="14"/>
  <c r="J68" i="14"/>
  <c r="B68" i="14"/>
  <c r="R67" i="14"/>
  <c r="Q67" i="14"/>
  <c r="P67" i="14"/>
  <c r="O67" i="14"/>
  <c r="N67" i="14"/>
  <c r="L67" i="14"/>
  <c r="K67" i="14"/>
  <c r="J67" i="14"/>
  <c r="B67" i="14"/>
  <c r="R66" i="14"/>
  <c r="Q66" i="14"/>
  <c r="P66" i="14"/>
  <c r="O66" i="14"/>
  <c r="N66" i="14"/>
  <c r="L66" i="14"/>
  <c r="K66" i="14"/>
  <c r="J66" i="14"/>
  <c r="B66" i="14"/>
  <c r="R65" i="14"/>
  <c r="Q65" i="14"/>
  <c r="P65" i="14"/>
  <c r="O65" i="14"/>
  <c r="N65" i="14"/>
  <c r="L65" i="14"/>
  <c r="K65" i="14"/>
  <c r="J65" i="14"/>
  <c r="B65" i="14"/>
  <c r="R64" i="14"/>
  <c r="Q64" i="14"/>
  <c r="P64" i="14"/>
  <c r="O64" i="14"/>
  <c r="N64" i="14"/>
  <c r="L64" i="14"/>
  <c r="K64" i="14"/>
  <c r="J64" i="14"/>
  <c r="B64" i="14"/>
  <c r="R63" i="14"/>
  <c r="Q63" i="14"/>
  <c r="P63" i="14"/>
  <c r="O63" i="14"/>
  <c r="N63" i="14"/>
  <c r="L63" i="14"/>
  <c r="K63" i="14"/>
  <c r="J63" i="14"/>
  <c r="B63" i="14"/>
  <c r="R62" i="14"/>
  <c r="Q62" i="14"/>
  <c r="P62" i="14"/>
  <c r="O62" i="14"/>
  <c r="N62" i="14"/>
  <c r="L62" i="14"/>
  <c r="K62" i="14"/>
  <c r="J62" i="14"/>
  <c r="B62" i="14"/>
  <c r="R61" i="14"/>
  <c r="Q61" i="14"/>
  <c r="P61" i="14"/>
  <c r="O61" i="14"/>
  <c r="N61" i="14"/>
  <c r="L61" i="14"/>
  <c r="K61" i="14"/>
  <c r="J61" i="14"/>
  <c r="B61" i="14"/>
  <c r="R60" i="14"/>
  <c r="Q60" i="14"/>
  <c r="P60" i="14"/>
  <c r="O60" i="14"/>
  <c r="N60" i="14"/>
  <c r="L60" i="14"/>
  <c r="K60" i="14"/>
  <c r="J60" i="14"/>
  <c r="B60" i="14"/>
  <c r="R59" i="14"/>
  <c r="Q59" i="14"/>
  <c r="P59" i="14"/>
  <c r="O59" i="14"/>
  <c r="N59" i="14"/>
  <c r="L59" i="14"/>
  <c r="K59" i="14"/>
  <c r="J59" i="14"/>
  <c r="B59" i="14"/>
  <c r="R58" i="14"/>
  <c r="Q58" i="14"/>
  <c r="P58" i="14"/>
  <c r="O58" i="14"/>
  <c r="N58" i="14"/>
  <c r="L58" i="14"/>
  <c r="K58" i="14"/>
  <c r="J58" i="14"/>
  <c r="B58" i="14"/>
  <c r="R57" i="14"/>
  <c r="Q57" i="14"/>
  <c r="P57" i="14"/>
  <c r="O57" i="14"/>
  <c r="N57" i="14"/>
  <c r="L57" i="14"/>
  <c r="K57" i="14"/>
  <c r="J57" i="14"/>
  <c r="B57" i="14"/>
  <c r="R56" i="14"/>
  <c r="Q56" i="14"/>
  <c r="P56" i="14"/>
  <c r="O56" i="14"/>
  <c r="N56" i="14"/>
  <c r="L56" i="14"/>
  <c r="K56" i="14"/>
  <c r="J56" i="14"/>
  <c r="B56" i="14"/>
  <c r="R55" i="14"/>
  <c r="Q55" i="14"/>
  <c r="P55" i="14"/>
  <c r="O55" i="14"/>
  <c r="N55" i="14"/>
  <c r="L55" i="14"/>
  <c r="K55" i="14"/>
  <c r="J55" i="14"/>
  <c r="B55" i="14"/>
  <c r="R54" i="14"/>
  <c r="Q54" i="14"/>
  <c r="P54" i="14"/>
  <c r="O54" i="14"/>
  <c r="N54" i="14"/>
  <c r="L54" i="14"/>
  <c r="K54" i="14"/>
  <c r="J54" i="14"/>
  <c r="B54" i="14"/>
  <c r="R53" i="14"/>
  <c r="Q53" i="14"/>
  <c r="P53" i="14"/>
  <c r="O53" i="14"/>
  <c r="N53" i="14"/>
  <c r="L53" i="14"/>
  <c r="K53" i="14"/>
  <c r="J53" i="14"/>
  <c r="B53" i="14"/>
  <c r="R52" i="14"/>
  <c r="Q52" i="14"/>
  <c r="P52" i="14"/>
  <c r="O52" i="14"/>
  <c r="N52" i="14"/>
  <c r="L52" i="14"/>
  <c r="K52" i="14"/>
  <c r="J52" i="14"/>
  <c r="B52" i="14"/>
  <c r="R51" i="14"/>
  <c r="Q51" i="14"/>
  <c r="P51" i="14"/>
  <c r="O51" i="14"/>
  <c r="N51" i="14"/>
  <c r="L51" i="14"/>
  <c r="K51" i="14"/>
  <c r="J51" i="14"/>
  <c r="B51" i="14"/>
  <c r="R50" i="14"/>
  <c r="Q50" i="14"/>
  <c r="P50" i="14"/>
  <c r="O50" i="14"/>
  <c r="N50" i="14"/>
  <c r="L50" i="14"/>
  <c r="K50" i="14"/>
  <c r="J50" i="14"/>
  <c r="B50" i="14"/>
  <c r="R49" i="14"/>
  <c r="Q49" i="14"/>
  <c r="P49" i="14"/>
  <c r="O49" i="14"/>
  <c r="N49" i="14"/>
  <c r="L49" i="14"/>
  <c r="K49" i="14"/>
  <c r="J49" i="14"/>
  <c r="B49" i="14"/>
  <c r="R48" i="14"/>
  <c r="Q48" i="14"/>
  <c r="P48" i="14"/>
  <c r="O48" i="14"/>
  <c r="N48" i="14"/>
  <c r="L48" i="14"/>
  <c r="K48" i="14"/>
  <c r="J48" i="14"/>
  <c r="B48" i="14"/>
  <c r="R47" i="14"/>
  <c r="Q47" i="14"/>
  <c r="P47" i="14"/>
  <c r="O47" i="14"/>
  <c r="N47" i="14"/>
  <c r="L47" i="14"/>
  <c r="K47" i="14"/>
  <c r="J47" i="14"/>
  <c r="B47" i="14"/>
  <c r="R46" i="14"/>
  <c r="Q46" i="14"/>
  <c r="P46" i="14"/>
  <c r="O46" i="14"/>
  <c r="N46" i="14"/>
  <c r="L46" i="14"/>
  <c r="K46" i="14"/>
  <c r="J46" i="14"/>
  <c r="B46" i="14"/>
  <c r="R45" i="14"/>
  <c r="Q45" i="14"/>
  <c r="P45" i="14"/>
  <c r="O45" i="14"/>
  <c r="N45" i="14"/>
  <c r="L45" i="14"/>
  <c r="K45" i="14"/>
  <c r="J45" i="14"/>
  <c r="B45" i="14"/>
  <c r="R44" i="14"/>
  <c r="Q44" i="14"/>
  <c r="P44" i="14"/>
  <c r="O44" i="14"/>
  <c r="N44" i="14"/>
  <c r="L44" i="14"/>
  <c r="K44" i="14"/>
  <c r="J44" i="14"/>
  <c r="B44" i="14"/>
  <c r="R43" i="14"/>
  <c r="Q43" i="14"/>
  <c r="P43" i="14"/>
  <c r="O43" i="14"/>
  <c r="N43" i="14"/>
  <c r="L43" i="14"/>
  <c r="K43" i="14"/>
  <c r="J43" i="14"/>
  <c r="B43" i="14"/>
  <c r="R42" i="14"/>
  <c r="Q42" i="14"/>
  <c r="P42" i="14"/>
  <c r="O42" i="14"/>
  <c r="N42" i="14"/>
  <c r="L42" i="14"/>
  <c r="K42" i="14"/>
  <c r="J42" i="14"/>
  <c r="B42" i="14"/>
  <c r="R41" i="14"/>
  <c r="Q41" i="14"/>
  <c r="P41" i="14"/>
  <c r="O41" i="14"/>
  <c r="N41" i="14"/>
  <c r="L41" i="14"/>
  <c r="K41" i="14"/>
  <c r="J41" i="14"/>
  <c r="B41" i="14"/>
  <c r="R40" i="14"/>
  <c r="Q40" i="14"/>
  <c r="P40" i="14"/>
  <c r="O40" i="14"/>
  <c r="N40" i="14"/>
  <c r="L40" i="14"/>
  <c r="K40" i="14"/>
  <c r="J40" i="14"/>
  <c r="B40" i="14"/>
  <c r="R39" i="14"/>
  <c r="Q39" i="14"/>
  <c r="P39" i="14"/>
  <c r="O39" i="14"/>
  <c r="N39" i="14"/>
  <c r="L39" i="14"/>
  <c r="K39" i="14"/>
  <c r="J39" i="14"/>
  <c r="B39" i="14"/>
  <c r="R38" i="14"/>
  <c r="Q38" i="14"/>
  <c r="P38" i="14"/>
  <c r="O38" i="14"/>
  <c r="N38" i="14"/>
  <c r="L38" i="14"/>
  <c r="K38" i="14"/>
  <c r="J38" i="14"/>
  <c r="B38" i="14"/>
  <c r="R37" i="14"/>
  <c r="Q37" i="14"/>
  <c r="P37" i="14"/>
  <c r="O37" i="14"/>
  <c r="N37" i="14"/>
  <c r="L37" i="14"/>
  <c r="K37" i="14"/>
  <c r="J37" i="14"/>
  <c r="B37" i="14"/>
  <c r="R36" i="14"/>
  <c r="Q36" i="14"/>
  <c r="P36" i="14"/>
  <c r="O36" i="14"/>
  <c r="N36" i="14"/>
  <c r="L36" i="14"/>
  <c r="K36" i="14"/>
  <c r="J36" i="14"/>
  <c r="B36" i="14"/>
  <c r="R35" i="14"/>
  <c r="Q35" i="14"/>
  <c r="P35" i="14"/>
  <c r="O35" i="14"/>
  <c r="N35" i="14"/>
  <c r="L35" i="14"/>
  <c r="K35" i="14"/>
  <c r="J35" i="14"/>
  <c r="B35" i="14"/>
  <c r="R34" i="14"/>
  <c r="Q34" i="14"/>
  <c r="P34" i="14"/>
  <c r="O34" i="14"/>
  <c r="N34" i="14"/>
  <c r="L34" i="14"/>
  <c r="K34" i="14"/>
  <c r="J34" i="14"/>
  <c r="B34" i="14"/>
  <c r="R33" i="14"/>
  <c r="Q33" i="14"/>
  <c r="P33" i="14"/>
  <c r="O33" i="14"/>
  <c r="N33" i="14"/>
  <c r="L33" i="14"/>
  <c r="K33" i="14"/>
  <c r="J33" i="14"/>
  <c r="B33" i="14"/>
  <c r="R32" i="14"/>
  <c r="Q32" i="14"/>
  <c r="P32" i="14"/>
  <c r="O32" i="14"/>
  <c r="N32" i="14"/>
  <c r="L32" i="14"/>
  <c r="K32" i="14"/>
  <c r="J32" i="14"/>
  <c r="B32" i="14"/>
  <c r="R31" i="14"/>
  <c r="Q31" i="14"/>
  <c r="P31" i="14"/>
  <c r="O31" i="14"/>
  <c r="N31" i="14"/>
  <c r="L31" i="14"/>
  <c r="K31" i="14"/>
  <c r="J31" i="14"/>
  <c r="B31" i="14"/>
  <c r="R30" i="14"/>
  <c r="Q30" i="14"/>
  <c r="P30" i="14"/>
  <c r="O30" i="14"/>
  <c r="N30" i="14"/>
  <c r="L30" i="14"/>
  <c r="K30" i="14"/>
  <c r="J30" i="14"/>
  <c r="B30" i="14"/>
  <c r="R29" i="14"/>
  <c r="Q29" i="14"/>
  <c r="P29" i="14"/>
  <c r="O29" i="14"/>
  <c r="N29" i="14"/>
  <c r="L29" i="14"/>
  <c r="K29" i="14"/>
  <c r="J29" i="14"/>
  <c r="B29" i="14"/>
  <c r="R28" i="14"/>
  <c r="Q28" i="14"/>
  <c r="P28" i="14"/>
  <c r="O28" i="14"/>
  <c r="N28" i="14"/>
  <c r="L28" i="14"/>
  <c r="K28" i="14"/>
  <c r="J28" i="14"/>
  <c r="B28" i="14"/>
  <c r="R27" i="14"/>
  <c r="Q27" i="14"/>
  <c r="P27" i="14"/>
  <c r="O27" i="14"/>
  <c r="N27" i="14"/>
  <c r="L27" i="14"/>
  <c r="K27" i="14"/>
  <c r="J27" i="14"/>
  <c r="B27" i="14"/>
  <c r="R26" i="14"/>
  <c r="Q26" i="14"/>
  <c r="P26" i="14"/>
  <c r="O26" i="14"/>
  <c r="N26" i="14"/>
  <c r="L26" i="14"/>
  <c r="K26" i="14"/>
  <c r="J26" i="14"/>
  <c r="B26" i="14"/>
  <c r="R25" i="14"/>
  <c r="Q25" i="14"/>
  <c r="P25" i="14"/>
  <c r="O25" i="14"/>
  <c r="N25" i="14"/>
  <c r="L25" i="14"/>
  <c r="K25" i="14"/>
  <c r="J25" i="14"/>
  <c r="B25" i="14"/>
  <c r="R24" i="14"/>
  <c r="Q24" i="14"/>
  <c r="P24" i="14"/>
  <c r="O24" i="14"/>
  <c r="N24" i="14"/>
  <c r="L24" i="14"/>
  <c r="K24" i="14"/>
  <c r="J24" i="14"/>
  <c r="B24" i="14"/>
  <c r="R23" i="14"/>
  <c r="Q23" i="14"/>
  <c r="P23" i="14"/>
  <c r="O23" i="14"/>
  <c r="N23" i="14"/>
  <c r="L23" i="14"/>
  <c r="K23" i="14"/>
  <c r="J23" i="14"/>
  <c r="B23" i="14"/>
  <c r="R22" i="14"/>
  <c r="Q22" i="14"/>
  <c r="P22" i="14"/>
  <c r="O22" i="14"/>
  <c r="N22" i="14"/>
  <c r="L22" i="14"/>
  <c r="K22" i="14"/>
  <c r="J22" i="14"/>
  <c r="B22" i="14"/>
  <c r="R21" i="14"/>
  <c r="Q21" i="14"/>
  <c r="P21" i="14"/>
  <c r="O21" i="14"/>
  <c r="N21" i="14"/>
  <c r="L21" i="14"/>
  <c r="K21" i="14"/>
  <c r="J21" i="14"/>
  <c r="B21" i="14"/>
  <c r="R20" i="14"/>
  <c r="Q20" i="14"/>
  <c r="P20" i="14"/>
  <c r="O20" i="14"/>
  <c r="N20" i="14"/>
  <c r="L20" i="14"/>
  <c r="K20" i="14"/>
  <c r="J20" i="14"/>
  <c r="B20" i="14"/>
  <c r="R19" i="14"/>
  <c r="Q19" i="14"/>
  <c r="P19" i="14"/>
  <c r="O19" i="14"/>
  <c r="N19" i="14"/>
  <c r="L19" i="14"/>
  <c r="K19" i="14"/>
  <c r="J19" i="14"/>
  <c r="B19" i="14"/>
  <c r="R18" i="14"/>
  <c r="Q18" i="14"/>
  <c r="P18" i="14"/>
  <c r="O18" i="14"/>
  <c r="N18" i="14"/>
  <c r="L18" i="14"/>
  <c r="K18" i="14"/>
  <c r="J18" i="14"/>
  <c r="B18" i="14"/>
  <c r="R17" i="14"/>
  <c r="Q17" i="14"/>
  <c r="P17" i="14"/>
  <c r="O17" i="14"/>
  <c r="N17" i="14"/>
  <c r="L17" i="14"/>
  <c r="K17" i="14"/>
  <c r="J17" i="14"/>
  <c r="B17" i="14"/>
  <c r="R16" i="14"/>
  <c r="Q16" i="14"/>
  <c r="P16" i="14"/>
  <c r="O16" i="14"/>
  <c r="N16" i="14"/>
  <c r="L16" i="14"/>
  <c r="K16" i="14"/>
  <c r="J16" i="14"/>
  <c r="B16" i="14"/>
  <c r="R15" i="14"/>
  <c r="Q15" i="14"/>
  <c r="P15" i="14"/>
  <c r="O15" i="14"/>
  <c r="N15" i="14"/>
  <c r="L15" i="14"/>
  <c r="K15" i="14"/>
  <c r="J15" i="14"/>
  <c r="B15" i="14"/>
  <c r="R14" i="14"/>
  <c r="Q14" i="14"/>
  <c r="P14" i="14"/>
  <c r="O14" i="14"/>
  <c r="N14" i="14"/>
  <c r="L14" i="14"/>
  <c r="K14" i="14"/>
  <c r="J14" i="14"/>
  <c r="B14" i="14"/>
  <c r="R13" i="14"/>
  <c r="Q13" i="14"/>
  <c r="P13" i="14"/>
  <c r="O13" i="14"/>
  <c r="N13" i="14"/>
  <c r="L13" i="14"/>
  <c r="K13" i="14"/>
  <c r="J13" i="14"/>
  <c r="B13" i="14"/>
  <c r="R12" i="14"/>
  <c r="Q12" i="14"/>
  <c r="P12" i="14"/>
  <c r="O12" i="14"/>
  <c r="N12" i="14"/>
  <c r="L12" i="14"/>
  <c r="K12" i="14"/>
  <c r="J12" i="14"/>
  <c r="B12" i="14"/>
  <c r="R11" i="14"/>
  <c r="Q11" i="14"/>
  <c r="P11" i="14"/>
  <c r="O11" i="14"/>
  <c r="N11" i="14"/>
  <c r="L11" i="14"/>
  <c r="K11" i="14"/>
  <c r="J11" i="14"/>
  <c r="B11" i="14"/>
  <c r="R10" i="14"/>
  <c r="Q10" i="14"/>
  <c r="P10" i="14"/>
  <c r="O10" i="14"/>
  <c r="N10" i="14"/>
  <c r="L10" i="14"/>
  <c r="K10" i="14"/>
  <c r="J10" i="14"/>
  <c r="B10" i="14"/>
  <c r="R9" i="14"/>
  <c r="Q9" i="14"/>
  <c r="P9" i="14"/>
  <c r="O9" i="14"/>
  <c r="N9" i="14"/>
  <c r="L9" i="14"/>
  <c r="K9" i="14"/>
  <c r="J9" i="14"/>
  <c r="B9" i="14"/>
  <c r="R8" i="14"/>
  <c r="Q8" i="14"/>
  <c r="P8" i="14"/>
  <c r="O8" i="14"/>
  <c r="N8" i="14"/>
  <c r="L8" i="14"/>
  <c r="K8" i="14"/>
  <c r="J8" i="14"/>
  <c r="B8" i="14"/>
  <c r="R7" i="14"/>
  <c r="Q7" i="14"/>
  <c r="P7" i="14"/>
  <c r="O7" i="14"/>
  <c r="N7" i="14"/>
  <c r="L7" i="14"/>
  <c r="K7" i="14"/>
  <c r="J7" i="14"/>
  <c r="B7" i="14"/>
  <c r="R6" i="14"/>
  <c r="Q6" i="14"/>
  <c r="P6" i="14"/>
  <c r="O6" i="14"/>
  <c r="N6" i="14"/>
  <c r="L6" i="14"/>
  <c r="K6" i="14"/>
  <c r="J6" i="14"/>
  <c r="B6" i="14"/>
  <c r="R5" i="14"/>
  <c r="Q5" i="14"/>
  <c r="P5" i="14"/>
  <c r="O5" i="14"/>
  <c r="N5" i="14"/>
  <c r="L5" i="14"/>
  <c r="K5" i="14"/>
  <c r="J5" i="14"/>
  <c r="B5" i="14"/>
  <c r="R4" i="14"/>
  <c r="Q4" i="14"/>
  <c r="P4" i="14"/>
  <c r="O4" i="14"/>
  <c r="N4" i="14"/>
  <c r="L4" i="14"/>
  <c r="K4" i="14"/>
  <c r="J4" i="14"/>
  <c r="B4" i="14"/>
  <c r="R3" i="14"/>
  <c r="Q3" i="14"/>
  <c r="P3" i="14"/>
  <c r="O3" i="14"/>
  <c r="N3" i="14"/>
  <c r="L3" i="14"/>
  <c r="K3" i="14"/>
  <c r="J3" i="14"/>
  <c r="B3" i="14"/>
  <c r="R2" i="14"/>
  <c r="Q2" i="14"/>
  <c r="P2" i="14"/>
  <c r="O2" i="14"/>
  <c r="N2" i="14"/>
  <c r="L2" i="14"/>
  <c r="K2" i="14"/>
  <c r="J2" i="14"/>
  <c r="B2" i="14"/>
  <c r="AI1044" i="17" l="1" a="1"/>
  <c r="E1044" i="24" s="1"/>
  <c r="AG1045" i="17"/>
  <c r="AF1045" i="17"/>
  <c r="AH1045" i="17" s="1"/>
  <c r="AG1044" i="17"/>
  <c r="AF1044" i="17"/>
  <c r="AH1044" i="17" s="1"/>
  <c r="D1038" i="14" a="1"/>
  <c r="C1038" i="19"/>
  <c r="D1037" i="14" a="1"/>
  <c r="C1037" i="19"/>
  <c r="D1036" i="14" a="1"/>
  <c r="C1036" i="19"/>
  <c r="AH1045" i="1"/>
  <c r="AI1045" i="17" s="1" a="1"/>
  <c r="E1045" i="24" s="1"/>
  <c r="C1045" i="14" a="1"/>
  <c r="C1044" i="14" a="1"/>
  <c r="F1045" i="24" a="1"/>
  <c r="D1045" i="24"/>
  <c r="C1045" i="24"/>
  <c r="B1045" i="24" a="1"/>
  <c r="M1045" i="14"/>
  <c r="F1044" i="24" a="1"/>
  <c r="C1044" i="24"/>
  <c r="B1044" i="24" a="1"/>
  <c r="D1044" i="24"/>
  <c r="M1044" i="14"/>
  <c r="AG1043" i="17"/>
  <c r="AF1043" i="17"/>
  <c r="AH1043" i="17" s="1"/>
  <c r="H1043" i="14"/>
  <c r="AI1043" i="17" a="1"/>
  <c r="E1043" i="24" s="1"/>
  <c r="C1043" i="14" a="1"/>
  <c r="AH1042" i="1"/>
  <c r="AH1041" i="1"/>
  <c r="D1043" i="24"/>
  <c r="M1043" i="14" s="1"/>
  <c r="B1043" i="24" a="1"/>
  <c r="F1043" i="24" a="1"/>
  <c r="C1043" i="24"/>
  <c r="G1028" i="19"/>
  <c r="AG1042" i="17"/>
  <c r="AF1042" i="17"/>
  <c r="AH1042" i="17" s="1"/>
  <c r="H1042" i="14"/>
  <c r="AI1042" i="17" a="1"/>
  <c r="E1042" i="24" s="1"/>
  <c r="C1042" i="14" a="1"/>
  <c r="AH1040" i="1"/>
  <c r="F1042" i="24" a="1"/>
  <c r="C1042" i="24"/>
  <c r="D1042" i="24"/>
  <c r="B1042" i="24" a="1"/>
  <c r="AG1041" i="17"/>
  <c r="AF1041" i="17"/>
  <c r="AH1041" i="17" s="1"/>
  <c r="H1041" i="14"/>
  <c r="AI1041" i="17" a="1"/>
  <c r="E1041" i="24" s="1"/>
  <c r="AH1039" i="1"/>
  <c r="C1041" i="14" a="1"/>
  <c r="D1041" i="24"/>
  <c r="M1041" i="14" s="1"/>
  <c r="C1041" i="24"/>
  <c r="B1041" i="24" a="1"/>
  <c r="F1041" i="24" a="1"/>
  <c r="F1040" i="24" a="1"/>
  <c r="D1040" i="24"/>
  <c r="C1040" i="24"/>
  <c r="B1040" i="24" a="1"/>
  <c r="AG1040" i="17"/>
  <c r="AF1040" i="17"/>
  <c r="AH1040" i="17" s="1"/>
  <c r="H1040" i="14"/>
  <c r="AI1040" i="17" a="1"/>
  <c r="E1040" i="24" s="1"/>
  <c r="AG1039" i="17"/>
  <c r="AF1039" i="17"/>
  <c r="AH1039" i="17" s="1"/>
  <c r="H1039" i="14"/>
  <c r="AI1039" i="17" a="1"/>
  <c r="E1039" i="24" s="1"/>
  <c r="H1030" i="14"/>
  <c r="G1030" i="19"/>
  <c r="C1040" i="14" a="1"/>
  <c r="C1039" i="14" a="1"/>
  <c r="C1027" i="19"/>
  <c r="D1027" i="14" a="1"/>
  <c r="C1039" i="24"/>
  <c r="D1039" i="24"/>
  <c r="B1039" i="24" a="1"/>
  <c r="F1039" i="24" a="1"/>
  <c r="M1039" i="14"/>
  <c r="G1027" i="19"/>
  <c r="AH355" i="1"/>
  <c r="G1032" i="19"/>
  <c r="G1031" i="19"/>
  <c r="G1029" i="19"/>
  <c r="C1025" i="19"/>
  <c r="D1025" i="14" a="1"/>
  <c r="C1026" i="19"/>
  <c r="D1026" i="14" a="1"/>
  <c r="C1028" i="19"/>
  <c r="D1028" i="14" a="1"/>
  <c r="AH1036" i="1"/>
  <c r="AH1037" i="1"/>
  <c r="AI1037" i="17" s="1" a="1"/>
  <c r="AH1038" i="1"/>
  <c r="AI1038" i="17" s="1" a="1"/>
  <c r="E1038" i="24" s="1"/>
  <c r="AI1036" i="17" a="1"/>
  <c r="AG1037" i="17"/>
  <c r="AF1037" i="17"/>
  <c r="AH1037" i="17" s="1"/>
  <c r="AG1038" i="17"/>
  <c r="AF1038" i="17"/>
  <c r="AH1038" i="17" s="1"/>
  <c r="AF1032" i="17"/>
  <c r="AH1032" i="17" s="1"/>
  <c r="AG1032" i="17"/>
  <c r="AF1031" i="17"/>
  <c r="AH1031" i="17" s="1"/>
  <c r="AG1031" i="17"/>
  <c r="AF1030" i="17"/>
  <c r="AH1030" i="17" s="1"/>
  <c r="AG1030" i="17"/>
  <c r="AF1029" i="17"/>
  <c r="AH1029" i="17" s="1"/>
  <c r="AG1029" i="17"/>
  <c r="AF1010" i="17"/>
  <c r="AH1010" i="17" s="1"/>
  <c r="AG1010" i="17"/>
  <c r="AF1009" i="17"/>
  <c r="AH1009" i="17" s="1"/>
  <c r="AG1009" i="17"/>
  <c r="AF1008" i="17"/>
  <c r="AH1008" i="17" s="1"/>
  <c r="AG1008" i="17"/>
  <c r="AF1035" i="17"/>
  <c r="AH1035" i="17" s="1"/>
  <c r="AG1035" i="17"/>
  <c r="AG1034" i="17"/>
  <c r="AF1034" i="17"/>
  <c r="AH1034" i="17" s="1"/>
  <c r="AG1033" i="17"/>
  <c r="AF1033" i="17"/>
  <c r="AH1033" i="17" s="1"/>
  <c r="AF1026" i="17"/>
  <c r="AH1026" i="17" s="1"/>
  <c r="AG1026" i="17"/>
  <c r="AG1024" i="17"/>
  <c r="AF1024" i="17"/>
  <c r="AH1024" i="17" s="1"/>
  <c r="AF1023" i="17"/>
  <c r="AH1023" i="17" s="1"/>
  <c r="AG1023" i="17"/>
  <c r="AF1016" i="17"/>
  <c r="AH1016" i="17" s="1"/>
  <c r="AG1016" i="17"/>
  <c r="AF1012" i="17"/>
  <c r="AH1012" i="17" s="1"/>
  <c r="AG1012" i="17"/>
  <c r="AF1007" i="17"/>
  <c r="AH1007" i="17" s="1"/>
  <c r="AG1007" i="17"/>
  <c r="AF1036" i="17"/>
  <c r="AH1036" i="17" s="1"/>
  <c r="AG1036" i="17"/>
  <c r="AF649" i="17"/>
  <c r="AH649" i="17" s="1"/>
  <c r="AG649" i="17"/>
  <c r="AG650" i="17"/>
  <c r="AF650" i="17"/>
  <c r="AH650" i="17" s="1"/>
  <c r="AF651" i="17"/>
  <c r="AH651" i="17" s="1"/>
  <c r="AG651" i="17"/>
  <c r="AG652" i="17"/>
  <c r="AF652" i="17"/>
  <c r="AH652" i="17" s="1"/>
  <c r="AF653" i="17"/>
  <c r="AH653" i="17" s="1"/>
  <c r="AG653" i="17"/>
  <c r="AG654" i="17"/>
  <c r="AF654" i="17"/>
  <c r="AH654" i="17" s="1"/>
  <c r="AF1022" i="17"/>
  <c r="AH1022" i="17" s="1"/>
  <c r="AG1022" i="17"/>
  <c r="AF1021" i="17"/>
  <c r="AH1021" i="17" s="1"/>
  <c r="AG1021" i="17"/>
  <c r="AF1020" i="17"/>
  <c r="AH1020" i="17" s="1"/>
  <c r="AG1020" i="17"/>
  <c r="AF1019" i="17"/>
  <c r="AH1019" i="17" s="1"/>
  <c r="AG1019" i="17"/>
  <c r="AG1018" i="17"/>
  <c r="AF1018" i="17"/>
  <c r="AH1018" i="17" s="1"/>
  <c r="C3" i="14" a="1"/>
  <c r="AF3" i="17"/>
  <c r="AH3" i="17" s="1"/>
  <c r="C2" i="14" a="1"/>
  <c r="AF2" i="17"/>
  <c r="AH2" i="17" s="1"/>
  <c r="C649" i="14" a="1"/>
  <c r="C650" i="14" a="1"/>
  <c r="C651" i="14" a="1"/>
  <c r="C652" i="14" a="1"/>
  <c r="C653" i="14" a="1"/>
  <c r="C654" i="14" a="1"/>
  <c r="C994" i="19"/>
  <c r="D994" i="14" a="1"/>
  <c r="C994" i="14" s="1" a="1"/>
  <c r="D995" i="14" a="1"/>
  <c r="C995" i="19"/>
  <c r="C1002" i="19"/>
  <c r="D1002" i="14" a="1"/>
  <c r="C1002" i="14" s="1" a="1"/>
  <c r="D1004" i="14" a="1"/>
  <c r="C1004" i="14" s="1" a="1"/>
  <c r="C1004" i="19"/>
  <c r="C1005" i="19"/>
  <c r="D1005" i="14" a="1"/>
  <c r="D1011" i="14" a="1"/>
  <c r="C1011" i="14" s="1" a="1"/>
  <c r="C1011" i="19"/>
  <c r="C1021" i="14" a="1"/>
  <c r="C1006" i="19"/>
  <c r="D1006" i="14" a="1"/>
  <c r="D1038" i="24"/>
  <c r="C1038" i="24"/>
  <c r="B1038" i="24" a="1"/>
  <c r="F1038" i="24" a="1"/>
  <c r="C1037" i="14" a="1"/>
  <c r="C1038" i="14" a="1"/>
  <c r="C1036" i="14" a="1"/>
  <c r="C1017" i="19"/>
  <c r="D1017" i="14" a="1"/>
  <c r="D1037" i="24"/>
  <c r="F1037" i="24" a="1"/>
  <c r="C1037" i="24"/>
  <c r="B1037" i="24" a="1"/>
  <c r="F1036" i="24" a="1"/>
  <c r="D1036" i="24"/>
  <c r="M1037" i="14" s="1"/>
  <c r="C1036" i="24"/>
  <c r="B1036" i="24" a="1"/>
  <c r="AI1035" i="17" a="1"/>
  <c r="E1035" i="24" s="1"/>
  <c r="C1035" i="14" a="1"/>
  <c r="D1035" i="24"/>
  <c r="C1035" i="24"/>
  <c r="B1035" i="24" a="1"/>
  <c r="F1035" i="24" a="1"/>
  <c r="AI1033" i="17" a="1"/>
  <c r="E1033" i="24" s="1"/>
  <c r="C1003" i="19"/>
  <c r="D1003" i="14" a="1"/>
  <c r="AI1034" i="17" a="1"/>
  <c r="E1034" i="24" s="1"/>
  <c r="C1034" i="14" a="1"/>
  <c r="C103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G1024" i="19"/>
  <c r="D1032" i="24"/>
  <c r="M1032" i="14" s="1"/>
  <c r="C1032" i="24"/>
  <c r="B1032" i="24" a="1"/>
  <c r="AI1032" i="17" a="1"/>
  <c r="E1032" i="24" s="1"/>
  <c r="AI1031" i="17" a="1"/>
  <c r="E1031" i="24" s="1"/>
  <c r="C1032" i="14" a="1"/>
  <c r="C1031" i="14" a="1"/>
  <c r="F1030" i="24" a="1"/>
  <c r="F1031" i="24" a="1"/>
  <c r="D1031" i="24"/>
  <c r="M1031" i="14" s="1"/>
  <c r="C1031" i="24"/>
  <c r="B1031" i="24" a="1"/>
  <c r="H1023" i="14"/>
  <c r="G1023" i="19"/>
  <c r="H1022" i="14"/>
  <c r="G1022" i="19"/>
  <c r="H1021" i="14"/>
  <c r="G1021" i="19"/>
  <c r="AI1030" i="17" a="1"/>
  <c r="E1030" i="24" s="1"/>
  <c r="D1030" i="24"/>
  <c r="B1030" i="24" a="1"/>
  <c r="C1030" i="24"/>
  <c r="C1030" i="14" a="1"/>
  <c r="C1001" i="19"/>
  <c r="D1001" i="14" a="1"/>
  <c r="AI1029" i="17" a="1"/>
  <c r="E1029" i="24" s="1"/>
  <c r="C1029" i="14" a="1"/>
  <c r="C1029" i="24"/>
  <c r="B1029" i="24" a="1"/>
  <c r="D1029" i="24"/>
  <c r="M1029" i="14" s="1"/>
  <c r="F1029" i="24" a="1"/>
  <c r="H1028" i="14"/>
  <c r="H1020" i="14"/>
  <c r="G1020" i="19"/>
  <c r="F1028" i="24" a="1"/>
  <c r="D1028" i="24"/>
  <c r="M1028" i="14" s="1"/>
  <c r="C1028" i="24"/>
  <c r="B1028" i="24" a="1"/>
  <c r="C998" i="19"/>
  <c r="D998" i="14" a="1"/>
  <c r="D1027" i="24"/>
  <c r="M1027" i="14" s="1"/>
  <c r="C1027" i="24"/>
  <c r="B1027" i="24" a="1"/>
  <c r="F1027" i="24" a="1"/>
  <c r="H1027" i="14"/>
  <c r="C1089" i="24"/>
  <c r="F1026" i="24" a="1"/>
  <c r="D1026" i="24"/>
  <c r="M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C997" i="19"/>
  <c r="D997" i="14" a="1"/>
  <c r="H1025" i="14"/>
  <c r="F1025" i="24" a="1"/>
  <c r="D1025" i="24"/>
  <c r="M1025" i="14" s="1"/>
  <c r="C1025" i="24"/>
  <c r="B1025" i="24" a="1"/>
  <c r="AI1024" i="17" a="1"/>
  <c r="E1024" i="24" s="1"/>
  <c r="F1024" i="24" a="1"/>
  <c r="D1024" i="24"/>
  <c r="C1024" i="24"/>
  <c r="B1024" i="24" a="1"/>
  <c r="C1024" i="14" a="1"/>
  <c r="C1023" i="14" a="1"/>
  <c r="AI1023" i="17" a="1"/>
  <c r="E1023" i="24" s="1"/>
  <c r="C1022" i="14" a="1"/>
  <c r="AI1022" i="17" a="1"/>
  <c r="E1022" i="24" s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G1019" i="19"/>
  <c r="H1018" i="14"/>
  <c r="G1018" i="19"/>
  <c r="F1021" i="24" a="1"/>
  <c r="D1021" i="24"/>
  <c r="C1021" i="24"/>
  <c r="B1021" i="24" a="1"/>
  <c r="F1020" i="24" a="1"/>
  <c r="D1020" i="24"/>
  <c r="M1020" i="14" s="1"/>
  <c r="C1020" i="24"/>
  <c r="B1020" i="24" a="1"/>
  <c r="AI1020" i="17" a="1"/>
  <c r="E1020" i="24" s="1"/>
  <c r="C1020" i="14" a="1"/>
  <c r="F1019" i="24" a="1"/>
  <c r="D1019" i="24"/>
  <c r="M1019" i="14" s="1"/>
  <c r="C1019" i="24"/>
  <c r="B1019" i="24" a="1"/>
  <c r="C1019" i="14" a="1"/>
  <c r="AI1019" i="17" a="1"/>
  <c r="E1019" i="24" s="1"/>
  <c r="AH314" i="1"/>
  <c r="AI1018" i="17" a="1"/>
  <c r="E1018" i="24" s="1"/>
  <c r="C1018" i="14" a="1"/>
  <c r="F1018" i="24" a="1"/>
  <c r="D1018" i="24"/>
  <c r="M1018" i="14" s="1"/>
  <c r="C1018" i="24"/>
  <c r="B1018" i="24" a="1"/>
  <c r="G1017" i="19"/>
  <c r="G1014" i="19"/>
  <c r="G1015" i="19"/>
  <c r="G1016" i="19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C1013" i="19"/>
  <c r="D1014" i="14" a="1"/>
  <c r="C1014" i="19"/>
  <c r="D1015" i="14" a="1"/>
  <c r="C1015" i="19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I653" i="17" a="1"/>
  <c r="E653" i="24" s="1"/>
  <c r="AI994" i="17" a="1"/>
  <c r="AI998" i="17" a="1"/>
  <c r="AI1006" i="17" a="1"/>
  <c r="AI995" i="17" a="1"/>
  <c r="AI997" i="17" a="1"/>
  <c r="E997" i="24" s="1"/>
  <c r="AI1001" i="17" a="1"/>
  <c r="AI1009" i="17" a="1"/>
  <c r="AI650" i="17" a="1"/>
  <c r="E650" i="24" s="1"/>
  <c r="AI651" i="17" a="1"/>
  <c r="E651" i="24" s="1"/>
  <c r="AI654" i="17" a="1"/>
  <c r="E654" i="24" s="1"/>
  <c r="AI649" i="17" a="1"/>
  <c r="E649" i="24" s="1"/>
  <c r="AI652" i="17" a="1"/>
  <c r="E652" i="24" s="1"/>
  <c r="C996" i="19"/>
  <c r="D996" i="14" a="1"/>
  <c r="C945" i="19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G1011" i="19"/>
  <c r="AH1017" i="1"/>
  <c r="D1017" i="24"/>
  <c r="C1017" i="24"/>
  <c r="B1017" i="24" a="1"/>
  <c r="M1017" i="14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M1048" i="24"/>
  <c r="H1048" i="24"/>
  <c r="I1048" i="24"/>
  <c r="K1048" i="24"/>
  <c r="N1048" i="24"/>
  <c r="G1048" i="24"/>
  <c r="J1048" i="24"/>
  <c r="L1048" i="24"/>
  <c r="O1048" i="24"/>
  <c r="G1047" i="24"/>
  <c r="H1047" i="24"/>
  <c r="I1047" i="24"/>
  <c r="J1047" i="24"/>
  <c r="K1047" i="24"/>
  <c r="L1047" i="24"/>
  <c r="M1047" i="24"/>
  <c r="N1047" i="24"/>
  <c r="O1047" i="24"/>
  <c r="G1046" i="24"/>
  <c r="H1046" i="24"/>
  <c r="I1046" i="24"/>
  <c r="J1046" i="24"/>
  <c r="K1046" i="24"/>
  <c r="L1046" i="24"/>
  <c r="M1046" i="24"/>
  <c r="N1046" i="24"/>
  <c r="O1046" i="24"/>
  <c r="G1004" i="19"/>
  <c r="C944" i="19"/>
  <c r="D944" i="14" a="1"/>
  <c r="C943" i="19"/>
  <c r="D943" i="14" a="1"/>
  <c r="C942" i="19"/>
  <c r="D942" i="14" a="1"/>
  <c r="C941" i="19"/>
  <c r="D941" i="14" a="1"/>
  <c r="C940" i="19"/>
  <c r="D940" i="14" a="1"/>
  <c r="C939" i="19"/>
  <c r="D939" i="14" a="1"/>
  <c r="H1013" i="14"/>
  <c r="G1013" i="19"/>
  <c r="G1006" i="19"/>
  <c r="AH1013" i="1"/>
  <c r="AH1015" i="1"/>
  <c r="AH1016" i="1"/>
  <c r="AI1016" i="17" s="1" a="1"/>
  <c r="E1016" i="24" s="1"/>
  <c r="G1009" i="19"/>
  <c r="G1008" i="19"/>
  <c r="C1016" i="14" a="1"/>
  <c r="C938" i="19"/>
  <c r="D938" i="14" a="1"/>
  <c r="C937" i="19"/>
  <c r="D937" i="14" a="1"/>
  <c r="C936" i="19"/>
  <c r="D936" i="14" a="1"/>
  <c r="D1016" i="24"/>
  <c r="M1016" i="14" s="1"/>
  <c r="C1016" i="24"/>
  <c r="B1016" i="24" a="1"/>
  <c r="H1012" i="14"/>
  <c r="G1012" i="19"/>
  <c r="D1015" i="24"/>
  <c r="M1015" i="14" s="1"/>
  <c r="C1015" i="24"/>
  <c r="B1015" i="24" a="1"/>
  <c r="H1010" i="14"/>
  <c r="G1010" i="19"/>
  <c r="D1014" i="24"/>
  <c r="M1014" i="14" s="1"/>
  <c r="C1014" i="24"/>
  <c r="B1014" i="24" a="1"/>
  <c r="D1013" i="24"/>
  <c r="M1013" i="14" s="1"/>
  <c r="C1013" i="24"/>
  <c r="B1013" i="24" a="1"/>
  <c r="G997" i="19"/>
  <c r="C989" i="19"/>
  <c r="D989" i="14" a="1"/>
  <c r="C988" i="19"/>
  <c r="D988" i="14" a="1"/>
  <c r="AH563" i="1"/>
  <c r="AH531" i="1"/>
  <c r="AH551" i="1"/>
  <c r="D1012" i="24"/>
  <c r="C1012" i="24"/>
  <c r="B1012" i="24" a="1"/>
  <c r="AH404" i="1"/>
  <c r="AH439" i="1"/>
  <c r="AH1012" i="1"/>
  <c r="AI1012" i="17" s="1" a="1"/>
  <c r="E1012" i="24" s="1"/>
  <c r="G996" i="19"/>
  <c r="G994" i="19"/>
  <c r="C1012" i="14" a="1"/>
  <c r="C987" i="19"/>
  <c r="D987" i="14" a="1"/>
  <c r="C986" i="19"/>
  <c r="D986" i="14" a="1"/>
  <c r="C985" i="19"/>
  <c r="D985" i="14" a="1"/>
  <c r="C984" i="19"/>
  <c r="D984" i="14" a="1"/>
  <c r="C983" i="19"/>
  <c r="D983" i="14" a="1"/>
  <c r="C982" i="19"/>
  <c r="D982" i="14" a="1"/>
  <c r="C981" i="19"/>
  <c r="D981" i="14" a="1"/>
  <c r="C980" i="19"/>
  <c r="D980" i="14" a="1"/>
  <c r="C979" i="19"/>
  <c r="D979" i="14" a="1"/>
  <c r="C978" i="19"/>
  <c r="D978" i="14" a="1"/>
  <c r="C972" i="19"/>
  <c r="D972" i="14" a="1"/>
  <c r="C971" i="19"/>
  <c r="D971" i="14" a="1"/>
  <c r="C970" i="19"/>
  <c r="D970" i="14" a="1"/>
  <c r="C969" i="19"/>
  <c r="D969" i="14" a="1"/>
  <c r="C968" i="19"/>
  <c r="D968" i="14" a="1"/>
  <c r="C916" i="19"/>
  <c r="D916" i="14" a="1"/>
  <c r="C915" i="19"/>
  <c r="D915" i="14" a="1"/>
  <c r="C914" i="19"/>
  <c r="D914" i="14" a="1"/>
  <c r="C913" i="19"/>
  <c r="D913" i="14" a="1"/>
  <c r="C912" i="19"/>
  <c r="D912" i="14" a="1"/>
  <c r="C911" i="19"/>
  <c r="D911" i="14" a="1"/>
  <c r="AH413" i="1"/>
  <c r="AH1010" i="1"/>
  <c r="AI1010" i="17" s="1" a="1"/>
  <c r="C999" i="19"/>
  <c r="D999" i="14" a="1"/>
  <c r="C1000" i="19"/>
  <c r="D1000" i="14" a="1"/>
  <c r="C919" i="19"/>
  <c r="D919" i="14" a="1"/>
  <c r="C918" i="19"/>
  <c r="D918" i="14" a="1"/>
  <c r="C917" i="19"/>
  <c r="D917" i="14" a="1"/>
  <c r="AH1011" i="1"/>
  <c r="C990" i="19"/>
  <c r="D990" i="14" a="1"/>
  <c r="C993" i="19"/>
  <c r="D993" i="14" a="1"/>
  <c r="C992" i="19"/>
  <c r="D992" i="14" a="1"/>
  <c r="C991" i="19"/>
  <c r="D991" i="14" a="1"/>
  <c r="C967" i="19"/>
  <c r="D967" i="14" a="1"/>
  <c r="D1011" i="24"/>
  <c r="C1011" i="24"/>
  <c r="B1011" i="24" a="1"/>
  <c r="H1011" i="14"/>
  <c r="G1026" i="19"/>
  <c r="G1025" i="19"/>
  <c r="H1007" i="14"/>
  <c r="G1007" i="19"/>
  <c r="H1005" i="14"/>
  <c r="G1005" i="19"/>
  <c r="H1003" i="14"/>
  <c r="G1003" i="19"/>
  <c r="H1002" i="14"/>
  <c r="G1002" i="19"/>
  <c r="H1001" i="14"/>
  <c r="G1001" i="19"/>
  <c r="AH612" i="1"/>
  <c r="AH1008" i="1"/>
  <c r="AI1008" i="17" s="1" a="1"/>
  <c r="C1010" i="14" a="1"/>
  <c r="D1010" i="24"/>
  <c r="C1010" i="24"/>
  <c r="B1010" i="24" a="1"/>
  <c r="H1009" i="14"/>
  <c r="H1000" i="14"/>
  <c r="G1000" i="19"/>
  <c r="C1009" i="14" a="1"/>
  <c r="D1009" i="24"/>
  <c r="B1009" i="24" a="1"/>
  <c r="C1009" i="24"/>
  <c r="H1008" i="14"/>
  <c r="H999" i="14"/>
  <c r="G999" i="19"/>
  <c r="H998" i="14"/>
  <c r="G998" i="19"/>
  <c r="D1008" i="24"/>
  <c r="C1008" i="24"/>
  <c r="B1008" i="24" a="1"/>
  <c r="AH1007" i="1"/>
  <c r="AI1007" i="17" s="1" a="1"/>
  <c r="AH601" i="1"/>
  <c r="AH602" i="1"/>
  <c r="AH599" i="1"/>
  <c r="C1008" i="14" a="1"/>
  <c r="C973" i="19"/>
  <c r="D973" i="14" a="1"/>
  <c r="D1007" i="24"/>
  <c r="C1007" i="24"/>
  <c r="B1007" i="24" a="1"/>
  <c r="AH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H1006" i="14"/>
  <c r="D1006" i="24"/>
  <c r="C1006" i="24"/>
  <c r="B1006" i="24" a="1"/>
  <c r="AH54" i="1"/>
  <c r="C977" i="19"/>
  <c r="D977" i="14" a="1"/>
  <c r="AH1004" i="1"/>
  <c r="AH1003" i="1"/>
  <c r="D1005" i="24"/>
  <c r="C1005" i="24"/>
  <c r="B1005" i="24" a="1"/>
  <c r="C887" i="19"/>
  <c r="D887" i="14" a="1"/>
  <c r="D24" i="14" a="1"/>
  <c r="C24" i="19"/>
  <c r="D23" i="14" a="1"/>
  <c r="C23" i="19"/>
  <c r="D22" i="14" a="1"/>
  <c r="C22" i="19"/>
  <c r="H1004" i="14"/>
  <c r="AH244" i="1"/>
  <c r="AH241" i="1"/>
  <c r="D21" i="14" a="1"/>
  <c r="C21" i="19"/>
  <c r="D20" i="14" a="1"/>
  <c r="C20" i="19"/>
  <c r="C1004" i="24"/>
  <c r="D1004" i="24"/>
  <c r="B1004" i="24" a="1"/>
  <c r="H995" i="14"/>
  <c r="G995" i="19"/>
  <c r="G696" i="19"/>
  <c r="H696" i="14"/>
  <c r="AH605" i="1"/>
  <c r="AH47" i="1"/>
  <c r="AH603" i="1"/>
  <c r="AH606" i="1"/>
  <c r="AH600" i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D1003" i="24"/>
  <c r="C1003" i="24"/>
  <c r="B1003" i="24" a="1"/>
  <c r="U1002" i="17"/>
  <c r="W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C966" i="19"/>
  <c r="D966" i="14" a="1"/>
  <c r="D786" i="14" a="1"/>
  <c r="C786" i="19"/>
  <c r="D785" i="14" a="1"/>
  <c r="C785" i="19"/>
  <c r="D555" i="14" a="1"/>
  <c r="C555" i="19"/>
  <c r="D554" i="14" a="1"/>
  <c r="C554" i="19"/>
  <c r="D1002" i="24"/>
  <c r="C1002" i="24"/>
  <c r="B1002" i="24" a="1"/>
  <c r="AH9" i="1"/>
  <c r="AH141" i="1"/>
  <c r="C713" i="19"/>
  <c r="D713" i="14" a="1"/>
  <c r="C712" i="19"/>
  <c r="D712" i="14" a="1"/>
  <c r="D13" i="14" a="1"/>
  <c r="C13" i="19"/>
  <c r="D1001" i="24"/>
  <c r="C1001" i="24"/>
  <c r="B1001" i="24" a="1"/>
  <c r="D1000" i="24"/>
  <c r="C1000" i="24"/>
  <c r="B1000" i="24" a="1"/>
  <c r="D999" i="24"/>
  <c r="C999" i="24"/>
  <c r="B999" i="24" a="1"/>
  <c r="G924" i="19"/>
  <c r="H924" i="14"/>
  <c r="AH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H604" i="1"/>
  <c r="AH423" i="1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D784" i="14" a="1"/>
  <c r="C784" i="19"/>
  <c r="D783" i="14" a="1"/>
  <c r="C783" i="19"/>
  <c r="D782" i="14" a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711" i="19"/>
  <c r="D711" i="14" a="1"/>
  <c r="C710" i="19"/>
  <c r="D710" i="14" a="1"/>
  <c r="D697" i="14" a="1"/>
  <c r="C697" i="19"/>
  <c r="D696" i="14" a="1"/>
  <c r="C696" i="19"/>
  <c r="C489" i="19"/>
  <c r="D489" i="14" a="1"/>
  <c r="C488" i="19"/>
  <c r="D488" i="14" a="1"/>
  <c r="D240" i="14" a="1"/>
  <c r="C240" i="19"/>
  <c r="H997" i="14"/>
  <c r="D997" i="24"/>
  <c r="C997" i="24"/>
  <c r="B997" i="24" a="1"/>
  <c r="G701" i="19"/>
  <c r="H701" i="14"/>
  <c r="AH591" i="1"/>
  <c r="AH898" i="1"/>
  <c r="AH617" i="1"/>
  <c r="AH905" i="1"/>
  <c r="AH594" i="1"/>
  <c r="AH813" i="1"/>
  <c r="AH289" i="1"/>
  <c r="AH247" i="1"/>
  <c r="AH2" i="1"/>
  <c r="AI2" i="17" s="1" a="1"/>
  <c r="E2" i="24" s="1"/>
  <c r="AH873" i="1"/>
  <c r="D779" i="14" a="1"/>
  <c r="C779" i="19"/>
  <c r="D695" i="14" a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H996" i="14"/>
  <c r="D996" i="24"/>
  <c r="C996" i="24"/>
  <c r="B996" i="24" a="1"/>
  <c r="G931" i="19"/>
  <c r="H931" i="14"/>
  <c r="G585" i="19"/>
  <c r="H585" i="14"/>
  <c r="G583" i="19"/>
  <c r="H583" i="14"/>
  <c r="G579" i="19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65" i="19"/>
  <c r="D965" i="14" a="1"/>
  <c r="C864" i="19"/>
  <c r="D864" i="14" a="1"/>
  <c r="C863" i="19"/>
  <c r="D863" i="14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C471" i="19"/>
  <c r="D470" i="14" a="1"/>
  <c r="C470" i="19"/>
  <c r="D469" i="14" a="1"/>
  <c r="C469" i="19"/>
  <c r="D468" i="14" a="1"/>
  <c r="C468" i="19"/>
  <c r="D467" i="14" a="1"/>
  <c r="C467" i="19"/>
  <c r="D466" i="14" a="1"/>
  <c r="C466" i="19"/>
  <c r="D465" i="14" a="1"/>
  <c r="C465" i="19"/>
  <c r="D464" i="14" a="1"/>
  <c r="C464" i="19"/>
  <c r="D463" i="14" a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H994" i="14"/>
  <c r="G922" i="19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I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C834" i="19"/>
  <c r="D834" i="14" a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C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D993" i="24"/>
  <c r="M993" i="14" s="1"/>
  <c r="C993" i="24"/>
  <c r="B993" i="24" a="1"/>
  <c r="D992" i="24"/>
  <c r="B992" i="24" a="1"/>
  <c r="D991" i="24"/>
  <c r="B991" i="24" a="1"/>
  <c r="D990" i="24"/>
  <c r="B990" i="24" a="1"/>
  <c r="D989" i="24"/>
  <c r="M989" i="14" s="1"/>
  <c r="B989" i="24" a="1"/>
  <c r="D988" i="24"/>
  <c r="M988" i="14" s="1"/>
  <c r="B988" i="24" a="1"/>
  <c r="D987" i="24"/>
  <c r="M987" i="14" s="1"/>
  <c r="B987" i="24" a="1"/>
  <c r="D986" i="24"/>
  <c r="M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B182" i="24" a="1"/>
  <c r="C182" i="24"/>
  <c r="D182" i="24"/>
  <c r="M182" i="14" s="1"/>
  <c r="B183" i="24" a="1"/>
  <c r="C183" i="24"/>
  <c r="D183" i="24"/>
  <c r="M183" i="14" s="1"/>
  <c r="B184" i="24" a="1"/>
  <c r="C184" i="24"/>
  <c r="D184" i="24"/>
  <c r="M184" i="14" s="1"/>
  <c r="B185" i="24" a="1"/>
  <c r="C185" i="24"/>
  <c r="D185" i="24"/>
  <c r="M185" i="14" s="1"/>
  <c r="B186" i="24" a="1"/>
  <c r="C186" i="24"/>
  <c r="D186" i="24"/>
  <c r="M186" i="14" s="1"/>
  <c r="B187" i="24" a="1"/>
  <c r="C187" i="24"/>
  <c r="D187" i="24"/>
  <c r="M187" i="14" s="1"/>
  <c r="B188" i="24" a="1"/>
  <c r="C188" i="24"/>
  <c r="D188" i="24"/>
  <c r="M188" i="14" s="1"/>
  <c r="B189" i="24" a="1"/>
  <c r="C189" i="24"/>
  <c r="D189" i="24"/>
  <c r="M189" i="14" s="1"/>
  <c r="B190" i="24" a="1"/>
  <c r="C190" i="24"/>
  <c r="D190" i="24"/>
  <c r="M190" i="14" s="1"/>
  <c r="B191" i="24" a="1"/>
  <c r="C191" i="24"/>
  <c r="D191" i="24"/>
  <c r="M191" i="14" s="1"/>
  <c r="B192" i="24" a="1"/>
  <c r="D310" i="24"/>
  <c r="M310" i="14" s="1"/>
  <c r="C310" i="24"/>
  <c r="B310" i="24" a="1"/>
  <c r="D309" i="24"/>
  <c r="M309" i="14" s="1"/>
  <c r="C309" i="24"/>
  <c r="B309" i="24" a="1"/>
  <c r="D308" i="24"/>
  <c r="M308" i="14" s="1"/>
  <c r="C308" i="24"/>
  <c r="B308" i="24" a="1"/>
  <c r="D307" i="24"/>
  <c r="M307" i="14" s="1"/>
  <c r="C307" i="24"/>
  <c r="B307" i="24" a="1"/>
  <c r="D306" i="24"/>
  <c r="M306" i="14" s="1"/>
  <c r="C306" i="24"/>
  <c r="B306" i="24" a="1"/>
  <c r="D305" i="24"/>
  <c r="M305" i="14" s="1"/>
  <c r="C305" i="24"/>
  <c r="B305" i="24" a="1"/>
  <c r="D304" i="24"/>
  <c r="M304" i="14" s="1"/>
  <c r="C304" i="24"/>
  <c r="B304" i="24" a="1"/>
  <c r="D303" i="24"/>
  <c r="M303" i="14" s="1"/>
  <c r="C303" i="24"/>
  <c r="B303" i="24" a="1"/>
  <c r="D302" i="24"/>
  <c r="M302" i="14" s="1"/>
  <c r="C302" i="24"/>
  <c r="B302" i="24" a="1"/>
  <c r="D301" i="24"/>
  <c r="M301" i="14" s="1"/>
  <c r="C301" i="24"/>
  <c r="B301" i="24" a="1"/>
  <c r="D300" i="24"/>
  <c r="M300" i="14" s="1"/>
  <c r="C300" i="24"/>
  <c r="B300" i="24" a="1"/>
  <c r="D299" i="24"/>
  <c r="M299" i="14" s="1"/>
  <c r="C299" i="24"/>
  <c r="B299" i="24" a="1"/>
  <c r="D298" i="24"/>
  <c r="M298" i="14" s="1"/>
  <c r="C298" i="24"/>
  <c r="B298" i="24" a="1"/>
  <c r="D297" i="24"/>
  <c r="M297" i="14" s="1"/>
  <c r="C297" i="24"/>
  <c r="B297" i="24" a="1"/>
  <c r="D296" i="24"/>
  <c r="M296" i="14" s="1"/>
  <c r="C296" i="24"/>
  <c r="B296" i="24" a="1"/>
  <c r="D295" i="24"/>
  <c r="M295" i="14" s="1"/>
  <c r="C295" i="24"/>
  <c r="B295" i="24" a="1"/>
  <c r="D294" i="24"/>
  <c r="M294" i="14" s="1"/>
  <c r="C294" i="24"/>
  <c r="B294" i="24" a="1"/>
  <c r="D293" i="24"/>
  <c r="M293" i="14" s="1"/>
  <c r="C293" i="24"/>
  <c r="B293" i="24" a="1"/>
  <c r="D292" i="24"/>
  <c r="M292" i="14" s="1"/>
  <c r="C292" i="24"/>
  <c r="B292" i="24" a="1"/>
  <c r="D291" i="24"/>
  <c r="M291" i="14" s="1"/>
  <c r="C291" i="24"/>
  <c r="B291" i="24" a="1"/>
  <c r="D290" i="24"/>
  <c r="M290" i="14" s="1"/>
  <c r="C290" i="24"/>
  <c r="B290" i="24" a="1"/>
  <c r="D289" i="24"/>
  <c r="M289" i="14" s="1"/>
  <c r="C289" i="24"/>
  <c r="B289" i="24" a="1"/>
  <c r="D288" i="24"/>
  <c r="M288" i="14" s="1"/>
  <c r="C288" i="24"/>
  <c r="B288" i="24" a="1"/>
  <c r="D287" i="24"/>
  <c r="M287" i="14" s="1"/>
  <c r="C287" i="24"/>
  <c r="B287" i="24" a="1"/>
  <c r="D286" i="24"/>
  <c r="C286" i="24"/>
  <c r="B286" i="24" a="1"/>
  <c r="D285" i="24"/>
  <c r="M285" i="14" s="1"/>
  <c r="C285" i="24"/>
  <c r="B285" i="24" a="1"/>
  <c r="D284" i="24"/>
  <c r="M284" i="14" s="1"/>
  <c r="C284" i="24"/>
  <c r="B284" i="24" a="1"/>
  <c r="D283" i="24"/>
  <c r="M283" i="14" s="1"/>
  <c r="C283" i="24"/>
  <c r="B283" i="24" a="1"/>
  <c r="D282" i="24"/>
  <c r="C282" i="24"/>
  <c r="B282" i="24" a="1"/>
  <c r="D281" i="24"/>
  <c r="M281" i="14" s="1"/>
  <c r="D929" i="24"/>
  <c r="M929" i="14" s="1"/>
  <c r="C929" i="24"/>
  <c r="B929" i="24" a="1"/>
  <c r="D928" i="24"/>
  <c r="C928" i="24"/>
  <c r="B928" i="24" a="1"/>
  <c r="D927" i="24"/>
  <c r="M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M860" i="14" s="1"/>
  <c r="C860" i="24"/>
  <c r="B860" i="24" a="1"/>
  <c r="D859" i="24"/>
  <c r="M859" i="14" s="1"/>
  <c r="C859" i="24"/>
  <c r="B859" i="24" a="1"/>
  <c r="D858" i="24"/>
  <c r="M858" i="14" s="1"/>
  <c r="C858" i="24"/>
  <c r="B858" i="24" a="1"/>
  <c r="D857" i="24"/>
  <c r="M857" i="14" s="1"/>
  <c r="C857" i="24"/>
  <c r="B857" i="24" a="1"/>
  <c r="D856" i="24"/>
  <c r="M856" i="14" s="1"/>
  <c r="C856" i="24"/>
  <c r="B856" i="24" a="1"/>
  <c r="D855" i="24"/>
  <c r="M855" i="14" s="1"/>
  <c r="C855" i="24"/>
  <c r="B855" i="24" a="1"/>
  <c r="D854" i="24"/>
  <c r="M854" i="14" s="1"/>
  <c r="C854" i="24"/>
  <c r="B854" i="24" a="1"/>
  <c r="D853" i="24"/>
  <c r="M853" i="14" s="1"/>
  <c r="C853" i="24"/>
  <c r="B853" i="24" a="1"/>
  <c r="D852" i="24"/>
  <c r="M852" i="14" s="1"/>
  <c r="C852" i="24"/>
  <c r="B852" i="24" a="1"/>
  <c r="D851" i="24"/>
  <c r="M851" i="14" s="1"/>
  <c r="C851" i="24"/>
  <c r="B851" i="24" a="1"/>
  <c r="D850" i="24"/>
  <c r="M850" i="14" s="1"/>
  <c r="C850" i="24"/>
  <c r="B850" i="24" a="1"/>
  <c r="D849" i="24"/>
  <c r="M849" i="14" s="1"/>
  <c r="C849" i="24"/>
  <c r="B849" i="24" a="1"/>
  <c r="D848" i="24"/>
  <c r="M848" i="14" s="1"/>
  <c r="C848" i="24"/>
  <c r="B848" i="24" a="1"/>
  <c r="D847" i="24"/>
  <c r="M847" i="14" s="1"/>
  <c r="C847" i="24"/>
  <c r="B847" i="24" a="1"/>
  <c r="D846" i="24"/>
  <c r="M846" i="14" s="1"/>
  <c r="C846" i="24"/>
  <c r="B846" i="24" a="1"/>
  <c r="D845" i="24"/>
  <c r="M845" i="14" s="1"/>
  <c r="C845" i="24"/>
  <c r="B845" i="24" a="1"/>
  <c r="D844" i="24"/>
  <c r="M844" i="14" s="1"/>
  <c r="C844" i="24"/>
  <c r="B844" i="24" a="1"/>
  <c r="D843" i="24"/>
  <c r="M843" i="14" s="1"/>
  <c r="C843" i="24"/>
  <c r="B843" i="24" a="1"/>
  <c r="D842" i="24"/>
  <c r="M842" i="14" s="1"/>
  <c r="C842" i="24"/>
  <c r="B842" i="24" a="1"/>
  <c r="D841" i="24"/>
  <c r="M841" i="14" s="1"/>
  <c r="C841" i="24"/>
  <c r="B841" i="24" a="1"/>
  <c r="D840" i="24"/>
  <c r="M840" i="14" s="1"/>
  <c r="C840" i="24"/>
  <c r="B840" i="24" a="1"/>
  <c r="D839" i="24"/>
  <c r="M839" i="14" s="1"/>
  <c r="C839" i="24"/>
  <c r="B839" i="24" a="1"/>
  <c r="D838" i="24"/>
  <c r="M838" i="14" s="1"/>
  <c r="C838" i="24"/>
  <c r="B838" i="24" a="1"/>
  <c r="D837" i="24"/>
  <c r="M837" i="14" s="1"/>
  <c r="C837" i="24"/>
  <c r="B837" i="24" a="1"/>
  <c r="D836" i="24"/>
  <c r="M836" i="14" s="1"/>
  <c r="C836" i="24"/>
  <c r="B836" i="24" a="1"/>
  <c r="D835" i="24"/>
  <c r="M835" i="14" s="1"/>
  <c r="C835" i="24"/>
  <c r="B835" i="24" a="1"/>
  <c r="D834" i="24"/>
  <c r="M834" i="14" s="1"/>
  <c r="C834" i="24"/>
  <c r="B834" i="24" a="1"/>
  <c r="D833" i="24"/>
  <c r="M833" i="14" s="1"/>
  <c r="C833" i="24"/>
  <c r="B833" i="24" a="1"/>
  <c r="D832" i="24"/>
  <c r="M832" i="14" s="1"/>
  <c r="C832" i="24"/>
  <c r="B832" i="24" a="1"/>
  <c r="D831" i="24"/>
  <c r="M831" i="14" s="1"/>
  <c r="C831" i="24"/>
  <c r="B831" i="24" a="1"/>
  <c r="D830" i="24"/>
  <c r="M830" i="14" s="1"/>
  <c r="C830" i="24"/>
  <c r="B830" i="24" a="1"/>
  <c r="D829" i="24"/>
  <c r="M829" i="14" s="1"/>
  <c r="C829" i="24"/>
  <c r="B829" i="24" a="1"/>
  <c r="D828" i="24"/>
  <c r="M828" i="14" s="1"/>
  <c r="C828" i="24"/>
  <c r="B828" i="24" a="1"/>
  <c r="D827" i="24"/>
  <c r="M827" i="14" s="1"/>
  <c r="C827" i="24"/>
  <c r="B827" i="24" a="1"/>
  <c r="D779" i="24"/>
  <c r="M779" i="14" s="1"/>
  <c r="B779" i="24" a="1"/>
  <c r="C778" i="24"/>
  <c r="B778" i="24" a="1"/>
  <c r="D777" i="24"/>
  <c r="M777" i="14" s="1"/>
  <c r="B777" i="24" a="1"/>
  <c r="D776" i="24"/>
  <c r="M776" i="14" s="1"/>
  <c r="C776" i="24"/>
  <c r="D775" i="24"/>
  <c r="M775" i="14" s="1"/>
  <c r="B775" i="24" a="1"/>
  <c r="C774" i="24"/>
  <c r="D772" i="24"/>
  <c r="M772" i="14" s="1"/>
  <c r="C772" i="24"/>
  <c r="D771" i="24"/>
  <c r="M771" i="14" s="1"/>
  <c r="C770" i="24"/>
  <c r="C769" i="24"/>
  <c r="B769" i="24" a="1"/>
  <c r="C768" i="24"/>
  <c r="B768" i="24" a="1"/>
  <c r="C767" i="24"/>
  <c r="D766" i="24"/>
  <c r="M766" i="14" s="1"/>
  <c r="B766" i="24" a="1"/>
  <c r="D765" i="24"/>
  <c r="M765" i="14" s="1"/>
  <c r="C765" i="24"/>
  <c r="B765" i="24" a="1"/>
  <c r="C764" i="24"/>
  <c r="D763" i="24"/>
  <c r="M763" i="14" s="1"/>
  <c r="B763" i="24" a="1"/>
  <c r="C762" i="24"/>
  <c r="B762" i="24" a="1"/>
  <c r="C761" i="24"/>
  <c r="C760" i="24"/>
  <c r="D759" i="24"/>
  <c r="M759" i="14" s="1"/>
  <c r="B759" i="24" a="1"/>
  <c r="C758" i="24"/>
  <c r="B758" i="24" a="1"/>
  <c r="D757" i="24"/>
  <c r="M757" i="14" s="1"/>
  <c r="C757" i="24"/>
  <c r="C756" i="24"/>
  <c r="C755" i="24"/>
  <c r="C754" i="24"/>
  <c r="C753" i="24"/>
  <c r="C752" i="24"/>
  <c r="B752" i="24" a="1"/>
  <c r="D751" i="24"/>
  <c r="M751" i="14" s="1"/>
  <c r="B751" i="24" a="1"/>
  <c r="D750" i="24"/>
  <c r="M750" i="14" s="1"/>
  <c r="B750" i="24" a="1"/>
  <c r="D749" i="24"/>
  <c r="M749" i="14" s="1"/>
  <c r="B749" i="24" a="1"/>
  <c r="C747" i="24"/>
  <c r="D746" i="24"/>
  <c r="M746" i="14" s="1"/>
  <c r="D745" i="24"/>
  <c r="M745" i="14" s="1"/>
  <c r="C745" i="24"/>
  <c r="B745" i="24" a="1"/>
  <c r="C744" i="24"/>
  <c r="D743" i="24"/>
  <c r="M743" i="14" s="1"/>
  <c r="B743" i="24" a="1"/>
  <c r="D742" i="24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D733" i="24"/>
  <c r="M733" i="14" s="1"/>
  <c r="C733" i="24"/>
  <c r="B733" i="24" a="1"/>
  <c r="C732" i="24"/>
  <c r="D731" i="24"/>
  <c r="M731" i="14" s="1"/>
  <c r="D730" i="24"/>
  <c r="M730" i="14" s="1"/>
  <c r="B730" i="24" a="1"/>
  <c r="D729" i="24"/>
  <c r="M729" i="14" s="1"/>
  <c r="B729" i="24" a="1"/>
  <c r="C728" i="24"/>
  <c r="C727" i="24"/>
  <c r="C726" i="24"/>
  <c r="D725" i="24"/>
  <c r="M725" i="14" s="1"/>
  <c r="B725" i="24" a="1"/>
  <c r="D724" i="24"/>
  <c r="M724" i="14" s="1"/>
  <c r="C724" i="24"/>
  <c r="B724" i="24" a="1"/>
  <c r="C281" i="24"/>
  <c r="B281" i="24" a="1"/>
  <c r="D280" i="24"/>
  <c r="M280" i="14" s="1"/>
  <c r="C280" i="24"/>
  <c r="B280" i="24" a="1"/>
  <c r="D279" i="24"/>
  <c r="M279" i="14" s="1"/>
  <c r="C279" i="24"/>
  <c r="B279" i="24" a="1"/>
  <c r="D278" i="24"/>
  <c r="M278" i="14" s="1"/>
  <c r="C278" i="24"/>
  <c r="B278" i="24" a="1"/>
  <c r="D277" i="24"/>
  <c r="M277" i="14" s="1"/>
  <c r="C277" i="24"/>
  <c r="B277" i="24" a="1"/>
  <c r="D276" i="24"/>
  <c r="M276" i="14" s="1"/>
  <c r="C276" i="24"/>
  <c r="B276" i="24" a="1"/>
  <c r="D275" i="24"/>
  <c r="M275" i="14" s="1"/>
  <c r="C275" i="24"/>
  <c r="B275" i="24" a="1"/>
  <c r="D274" i="24"/>
  <c r="M274" i="14" s="1"/>
  <c r="C274" i="24"/>
  <c r="B274" i="24" a="1"/>
  <c r="D273" i="24"/>
  <c r="M273" i="14" s="1"/>
  <c r="C273" i="24"/>
  <c r="B273" i="24" a="1"/>
  <c r="D272" i="24"/>
  <c r="M272" i="14" s="1"/>
  <c r="C272" i="24"/>
  <c r="B272" i="24" a="1"/>
  <c r="D271" i="24"/>
  <c r="M271" i="14" s="1"/>
  <c r="C271" i="24"/>
  <c r="B271" i="24" a="1"/>
  <c r="D270" i="24"/>
  <c r="M270" i="14" s="1"/>
  <c r="C270" i="24"/>
  <c r="B270" i="24" a="1"/>
  <c r="D269" i="24"/>
  <c r="M269" i="14" s="1"/>
  <c r="C269" i="24"/>
  <c r="B269" i="24" a="1"/>
  <c r="D268" i="24"/>
  <c r="M268" i="14" s="1"/>
  <c r="C268" i="24"/>
  <c r="B268" i="24" a="1"/>
  <c r="D267" i="24"/>
  <c r="M267" i="14" s="1"/>
  <c r="C267" i="24"/>
  <c r="B267" i="24" a="1"/>
  <c r="D266" i="24"/>
  <c r="M266" i="14" s="1"/>
  <c r="C266" i="24"/>
  <c r="B266" i="24" a="1"/>
  <c r="D265" i="24"/>
  <c r="M265" i="14" s="1"/>
  <c r="C265" i="24"/>
  <c r="B265" i="24" a="1"/>
  <c r="D264" i="24"/>
  <c r="M264" i="14" s="1"/>
  <c r="C264" i="24"/>
  <c r="B264" i="24" a="1"/>
  <c r="D263" i="24"/>
  <c r="M263" i="14" s="1"/>
  <c r="C263" i="24"/>
  <c r="B263" i="24" a="1"/>
  <c r="C3" i="24"/>
  <c r="B5" i="24" a="1"/>
  <c r="C10" i="24"/>
  <c r="D12" i="24"/>
  <c r="M12" i="14" s="1"/>
  <c r="D13" i="24"/>
  <c r="M13" i="14" s="1"/>
  <c r="D16" i="24"/>
  <c r="M16" i="14" s="1"/>
  <c r="C17" i="24"/>
  <c r="C20" i="24"/>
  <c r="C21" i="24"/>
  <c r="B25" i="24" a="1"/>
  <c r="B28" i="24" a="1"/>
  <c r="D262" i="24"/>
  <c r="M262" i="14" s="1"/>
  <c r="C262" i="24"/>
  <c r="B262" i="24" a="1"/>
  <c r="D261" i="24"/>
  <c r="M261" i="14" s="1"/>
  <c r="C261" i="24"/>
  <c r="B261" i="24" a="1"/>
  <c r="D260" i="24"/>
  <c r="M260" i="14" s="1"/>
  <c r="C260" i="24"/>
  <c r="B260" i="24" a="1"/>
  <c r="D259" i="24"/>
  <c r="M259" i="14" s="1"/>
  <c r="C259" i="24"/>
  <c r="B259" i="24" a="1"/>
  <c r="D258" i="24"/>
  <c r="M258" i="14" s="1"/>
  <c r="C258" i="24"/>
  <c r="B258" i="24" a="1"/>
  <c r="D257" i="24"/>
  <c r="M257" i="14" s="1"/>
  <c r="C257" i="24"/>
  <c r="B257" i="24" a="1"/>
  <c r="C30" i="24"/>
  <c r="D256" i="24"/>
  <c r="M256" i="14" s="1"/>
  <c r="C256" i="24"/>
  <c r="D32" i="24"/>
  <c r="M32" i="14" s="1"/>
  <c r="D35" i="24"/>
  <c r="M35" i="14" s="1"/>
  <c r="B256" i="24" a="1"/>
  <c r="D37" i="24"/>
  <c r="M37" i="14" s="1"/>
  <c r="B39" i="24" a="1"/>
  <c r="D255" i="24"/>
  <c r="M255" i="14" s="1"/>
  <c r="D40" i="24"/>
  <c r="M40" i="14" s="1"/>
  <c r="C41" i="24"/>
  <c r="C255" i="24"/>
  <c r="B255" i="24" a="1"/>
  <c r="D43" i="24"/>
  <c r="M43" i="14" s="1"/>
  <c r="B45" i="24" a="1"/>
  <c r="D254" i="24"/>
  <c r="M254" i="14" s="1"/>
  <c r="C254" i="24"/>
  <c r="B254" i="24" a="1"/>
  <c r="D253" i="24"/>
  <c r="M253" i="14" s="1"/>
  <c r="C46" i="24"/>
  <c r="C253" i="24"/>
  <c r="B253" i="24" a="1"/>
  <c r="C47" i="24"/>
  <c r="D252" i="24"/>
  <c r="M252" i="14" s="1"/>
  <c r="B50" i="24" a="1"/>
  <c r="C252" i="24"/>
  <c r="B252" i="24" a="1"/>
  <c r="D251" i="24"/>
  <c r="M251" i="14" s="1"/>
  <c r="C251" i="24"/>
  <c r="C52" i="24"/>
  <c r="B251" i="24" a="1"/>
  <c r="D53" i="24"/>
  <c r="M53" i="14" s="1"/>
  <c r="D250" i="24"/>
  <c r="M250" i="14" s="1"/>
  <c r="C54" i="24"/>
  <c r="C250" i="24"/>
  <c r="B250" i="24" a="1"/>
  <c r="B55" i="24" a="1"/>
  <c r="C55" i="24"/>
  <c r="D249" i="24"/>
  <c r="M249" i="14" s="1"/>
  <c r="C249" i="24"/>
  <c r="D55" i="24"/>
  <c r="M55" i="14" s="1"/>
  <c r="B249" i="24" a="1"/>
  <c r="B56" i="24" a="1"/>
  <c r="C56" i="24"/>
  <c r="D56" i="24"/>
  <c r="M56" i="14" s="1"/>
  <c r="D248" i="24"/>
  <c r="M248" i="14" s="1"/>
  <c r="C248" i="24"/>
  <c r="B57" i="24" a="1"/>
  <c r="C57" i="24"/>
  <c r="D57" i="24"/>
  <c r="M57" i="14" s="1"/>
  <c r="B248" i="24" a="1"/>
  <c r="B58" i="24" a="1"/>
  <c r="C58" i="24"/>
  <c r="D58" i="24"/>
  <c r="M58" i="14" s="1"/>
  <c r="B59" i="24" a="1"/>
  <c r="C59" i="24"/>
  <c r="D59" i="24"/>
  <c r="M59" i="14" s="1"/>
  <c r="B60" i="24" a="1"/>
  <c r="C60" i="24"/>
  <c r="D60" i="24"/>
  <c r="M60" i="14" s="1"/>
  <c r="B61" i="24" a="1"/>
  <c r="C61" i="24"/>
  <c r="D61" i="24"/>
  <c r="M61" i="14" s="1"/>
  <c r="B62" i="24" a="1"/>
  <c r="C62" i="24"/>
  <c r="D62" i="24"/>
  <c r="M62" i="14" s="1"/>
  <c r="B63" i="24" a="1"/>
  <c r="C63" i="24"/>
  <c r="D63" i="24"/>
  <c r="M63" i="14" s="1"/>
  <c r="B64" i="24" a="1"/>
  <c r="C64" i="24"/>
  <c r="D64" i="24"/>
  <c r="M64" i="14" s="1"/>
  <c r="B65" i="24" a="1"/>
  <c r="C65" i="24"/>
  <c r="D65" i="24"/>
  <c r="M65" i="14" s="1"/>
  <c r="B66" i="24" a="1"/>
  <c r="C66" i="24"/>
  <c r="D66" i="24"/>
  <c r="M66" i="14" s="1"/>
  <c r="B67" i="24" a="1"/>
  <c r="D826" i="24"/>
  <c r="M826" i="14" s="1"/>
  <c r="C826" i="24"/>
  <c r="B826" i="24" a="1"/>
  <c r="D825" i="24"/>
  <c r="M825" i="14" s="1"/>
  <c r="C825" i="24"/>
  <c r="B825" i="24" a="1"/>
  <c r="D824" i="24"/>
  <c r="M824" i="14" s="1"/>
  <c r="C824" i="24"/>
  <c r="B824" i="24" a="1"/>
  <c r="D823" i="24"/>
  <c r="M823" i="14" s="1"/>
  <c r="C823" i="24"/>
  <c r="B823" i="24" a="1"/>
  <c r="D822" i="24"/>
  <c r="M822" i="14" s="1"/>
  <c r="C822" i="24"/>
  <c r="B822" i="24" a="1"/>
  <c r="D821" i="24"/>
  <c r="M821" i="14" s="1"/>
  <c r="C821" i="24"/>
  <c r="B821" i="24" a="1"/>
  <c r="D820" i="24"/>
  <c r="M820" i="14" s="1"/>
  <c r="C820" i="24"/>
  <c r="B820" i="24" a="1"/>
  <c r="D819" i="24"/>
  <c r="M819" i="14" s="1"/>
  <c r="C819" i="24"/>
  <c r="B819" i="24" a="1"/>
  <c r="D818" i="24"/>
  <c r="M818" i="14" s="1"/>
  <c r="C818" i="24"/>
  <c r="B818" i="24" a="1"/>
  <c r="D817" i="24"/>
  <c r="M817" i="14" s="1"/>
  <c r="C817" i="24"/>
  <c r="B817" i="24" a="1"/>
  <c r="D816" i="24"/>
  <c r="M816" i="14" s="1"/>
  <c r="C816" i="24"/>
  <c r="B816" i="24" a="1"/>
  <c r="D815" i="24"/>
  <c r="M815" i="14" s="1"/>
  <c r="C815" i="24"/>
  <c r="B815" i="24" a="1"/>
  <c r="D814" i="24"/>
  <c r="M814" i="14" s="1"/>
  <c r="C814" i="24"/>
  <c r="B814" i="24" a="1"/>
  <c r="D813" i="24"/>
  <c r="M813" i="14" s="1"/>
  <c r="C813" i="24"/>
  <c r="B813" i="24" a="1"/>
  <c r="D812" i="24"/>
  <c r="M812" i="14" s="1"/>
  <c r="C812" i="24"/>
  <c r="B812" i="24" a="1"/>
  <c r="D811" i="24"/>
  <c r="M811" i="14" s="1"/>
  <c r="C811" i="24"/>
  <c r="B811" i="24" a="1"/>
  <c r="D810" i="24"/>
  <c r="M810" i="14" s="1"/>
  <c r="C810" i="24"/>
  <c r="B810" i="24" a="1"/>
  <c r="D809" i="24"/>
  <c r="M809" i="14" s="1"/>
  <c r="C809" i="24"/>
  <c r="B809" i="24" a="1"/>
  <c r="D808" i="24"/>
  <c r="M808" i="14" s="1"/>
  <c r="C808" i="24"/>
  <c r="B808" i="24" a="1"/>
  <c r="D807" i="24"/>
  <c r="M807" i="14" s="1"/>
  <c r="C807" i="24"/>
  <c r="B807" i="24" a="1"/>
  <c r="D806" i="24"/>
  <c r="M806" i="14" s="1"/>
  <c r="C806" i="24"/>
  <c r="B806" i="24" a="1"/>
  <c r="D805" i="24"/>
  <c r="M805" i="14" s="1"/>
  <c r="C805" i="24"/>
  <c r="B805" i="24" a="1"/>
  <c r="D804" i="24"/>
  <c r="M804" i="14" s="1"/>
  <c r="C804" i="24"/>
  <c r="B804" i="24" a="1"/>
  <c r="D803" i="24"/>
  <c r="M803" i="14" s="1"/>
  <c r="C803" i="24"/>
  <c r="B803" i="24" a="1"/>
  <c r="D802" i="24"/>
  <c r="M802" i="14" s="1"/>
  <c r="C802" i="24"/>
  <c r="B802" i="24" a="1"/>
  <c r="D801" i="24"/>
  <c r="C801" i="24"/>
  <c r="B801" i="24" a="1"/>
  <c r="D800" i="24"/>
  <c r="M800" i="14" s="1"/>
  <c r="C800" i="24"/>
  <c r="B800" i="24" a="1"/>
  <c r="D799" i="24"/>
  <c r="M799" i="14" s="1"/>
  <c r="C799" i="24"/>
  <c r="B799" i="24" a="1"/>
  <c r="D798" i="24"/>
  <c r="M798" i="14" s="1"/>
  <c r="C798" i="24"/>
  <c r="B798" i="24" a="1"/>
  <c r="D797" i="24"/>
  <c r="M797" i="14" s="1"/>
  <c r="C797" i="24"/>
  <c r="B797" i="24" a="1"/>
  <c r="D796" i="24"/>
  <c r="M796" i="14" s="1"/>
  <c r="C796" i="24"/>
  <c r="B796" i="24" a="1"/>
  <c r="D795" i="24"/>
  <c r="M795" i="14" s="1"/>
  <c r="C795" i="24"/>
  <c r="B795" i="24" a="1"/>
  <c r="D794" i="24"/>
  <c r="M794" i="14" s="1"/>
  <c r="C794" i="24"/>
  <c r="B794" i="24" a="1"/>
  <c r="D793" i="24"/>
  <c r="M793" i="14" s="1"/>
  <c r="C793" i="24"/>
  <c r="B793" i="24" a="1"/>
  <c r="D792" i="24"/>
  <c r="M792" i="14" s="1"/>
  <c r="C792" i="24"/>
  <c r="B792" i="24" a="1"/>
  <c r="D791" i="24"/>
  <c r="M791" i="14" s="1"/>
  <c r="C791" i="24"/>
  <c r="B791" i="24" a="1"/>
  <c r="D790" i="24"/>
  <c r="M790" i="14" s="1"/>
  <c r="C790" i="24"/>
  <c r="B790" i="24" a="1"/>
  <c r="D789" i="24"/>
  <c r="M789" i="14" s="1"/>
  <c r="C789" i="24"/>
  <c r="B789" i="24" a="1"/>
  <c r="D788" i="24"/>
  <c r="M788" i="14" s="1"/>
  <c r="C788" i="24"/>
  <c r="B788" i="24" a="1"/>
  <c r="D787" i="24"/>
  <c r="M787" i="14" s="1"/>
  <c r="C787" i="24"/>
  <c r="B787" i="24" a="1"/>
  <c r="D786" i="24"/>
  <c r="M786" i="14" s="1"/>
  <c r="C786" i="24"/>
  <c r="B786" i="24" a="1"/>
  <c r="D785" i="24"/>
  <c r="M785" i="14" s="1"/>
  <c r="C785" i="24"/>
  <c r="B785" i="24" a="1"/>
  <c r="D784" i="24"/>
  <c r="M784" i="14" s="1"/>
  <c r="C784" i="24"/>
  <c r="B784" i="24" a="1"/>
  <c r="D783" i="24"/>
  <c r="M783" i="14" s="1"/>
  <c r="C783" i="24"/>
  <c r="B783" i="24" a="1"/>
  <c r="D782" i="24"/>
  <c r="M782" i="14" s="1"/>
  <c r="C782" i="24"/>
  <c r="B782" i="24" a="1"/>
  <c r="D781" i="24"/>
  <c r="M781" i="14" s="1"/>
  <c r="C781" i="24"/>
  <c r="B781" i="24" a="1"/>
  <c r="D780" i="24"/>
  <c r="M780" i="14" s="1"/>
  <c r="C780" i="24"/>
  <c r="B780" i="24" a="1"/>
  <c r="C779" i="24"/>
  <c r="D778" i="24"/>
  <c r="M778" i="14" s="1"/>
  <c r="C777" i="24"/>
  <c r="B776" i="24" a="1"/>
  <c r="C775" i="24"/>
  <c r="D774" i="24"/>
  <c r="M774" i="14" s="1"/>
  <c r="B774" i="24" a="1"/>
  <c r="D773" i="24"/>
  <c r="M773" i="14" s="1"/>
  <c r="C773" i="24"/>
  <c r="B773" i="24" a="1"/>
  <c r="B772" i="24" a="1"/>
  <c r="C771" i="24"/>
  <c r="B771" i="24" a="1"/>
  <c r="D770" i="24"/>
  <c r="M770" i="14" s="1"/>
  <c r="B770" i="24" a="1"/>
  <c r="D769" i="24"/>
  <c r="M769" i="14" s="1"/>
  <c r="D768" i="24"/>
  <c r="M768" i="14" s="1"/>
  <c r="D767" i="24"/>
  <c r="M767" i="14" s="1"/>
  <c r="B767" i="24" a="1"/>
  <c r="C766" i="24"/>
  <c r="D764" i="24"/>
  <c r="M764" i="14" s="1"/>
  <c r="B764" i="24" a="1"/>
  <c r="C763" i="24"/>
  <c r="D762" i="24"/>
  <c r="M762" i="14" s="1"/>
  <c r="D761" i="24"/>
  <c r="M761" i="14" s="1"/>
  <c r="B761" i="24" a="1"/>
  <c r="D760" i="24"/>
  <c r="M760" i="14" s="1"/>
  <c r="B760" i="24" a="1"/>
  <c r="C759" i="24"/>
  <c r="D758" i="24"/>
  <c r="M758" i="14" s="1"/>
  <c r="B757" i="24" a="1"/>
  <c r="D756" i="24"/>
  <c r="M756" i="14" s="1"/>
  <c r="B756" i="24" a="1"/>
  <c r="D755" i="24"/>
  <c r="M755" i="14" s="1"/>
  <c r="B755" i="24" a="1"/>
  <c r="D754" i="24"/>
  <c r="B754" i="24" a="1"/>
  <c r="D753" i="24"/>
  <c r="M753" i="14" s="1"/>
  <c r="B753" i="24" a="1"/>
  <c r="D752" i="24"/>
  <c r="M752" i="14" s="1"/>
  <c r="C751" i="24"/>
  <c r="C750" i="24"/>
  <c r="C749" i="24"/>
  <c r="D748" i="24"/>
  <c r="M748" i="14" s="1"/>
  <c r="C748" i="24"/>
  <c r="B748" i="24" a="1"/>
  <c r="D747" i="24"/>
  <c r="M747" i="14" s="1"/>
  <c r="B747" i="24" a="1"/>
  <c r="C746" i="24"/>
  <c r="B746" i="24" a="1"/>
  <c r="D744" i="24"/>
  <c r="M744" i="14" s="1"/>
  <c r="B744" i="24" a="1"/>
  <c r="C743" i="24"/>
  <c r="C742" i="24"/>
  <c r="B741" i="24" a="1"/>
  <c r="D740" i="24"/>
  <c r="B740" i="24" a="1"/>
  <c r="D739" i="24"/>
  <c r="M739" i="14" s="1"/>
  <c r="B739" i="24" a="1"/>
  <c r="D738" i="24"/>
  <c r="M738" i="14" s="1"/>
  <c r="B738" i="24" a="1"/>
  <c r="D737" i="24"/>
  <c r="M737" i="14" s="1"/>
  <c r="B737" i="24" a="1"/>
  <c r="D736" i="24"/>
  <c r="M736" i="14" s="1"/>
  <c r="D735" i="24"/>
  <c r="M735" i="14" s="1"/>
  <c r="B735" i="24" a="1"/>
  <c r="D734" i="24"/>
  <c r="M734" i="14" s="1"/>
  <c r="C734" i="24"/>
  <c r="B734" i="24" a="1"/>
  <c r="D732" i="24"/>
  <c r="M732" i="14" s="1"/>
  <c r="B732" i="24" a="1"/>
  <c r="C731" i="24"/>
  <c r="B731" i="24" a="1"/>
  <c r="C730" i="24"/>
  <c r="C729" i="24"/>
  <c r="D728" i="24"/>
  <c r="B728" i="24" a="1"/>
  <c r="D727" i="24"/>
  <c r="M727" i="14" s="1"/>
  <c r="B727" i="24" a="1"/>
  <c r="D726" i="24"/>
  <c r="M726" i="14" s="1"/>
  <c r="B726" i="24" a="1"/>
  <c r="C725" i="24"/>
  <c r="C67" i="24"/>
  <c r="D67" i="24"/>
  <c r="M67" i="14" s="1"/>
  <c r="D247" i="24"/>
  <c r="M247" i="14" s="1"/>
  <c r="C247" i="24"/>
  <c r="B247" i="24" a="1"/>
  <c r="B68" i="24" a="1"/>
  <c r="C68" i="24"/>
  <c r="D68" i="24"/>
  <c r="M68" i="14" s="1"/>
  <c r="B69" i="24" a="1"/>
  <c r="D246" i="24"/>
  <c r="M246" i="14" s="1"/>
  <c r="C246" i="24"/>
  <c r="C69" i="24"/>
  <c r="D69" i="24"/>
  <c r="M69" i="14" s="1"/>
  <c r="B246" i="24" a="1"/>
  <c r="D245" i="24"/>
  <c r="M245" i="14" s="1"/>
  <c r="C245" i="24"/>
  <c r="B245" i="24" a="1"/>
  <c r="D244" i="24"/>
  <c r="M244" i="14" s="1"/>
  <c r="C244" i="24"/>
  <c r="B244" i="24" a="1"/>
  <c r="D243" i="24"/>
  <c r="M243" i="14" s="1"/>
  <c r="C243" i="24"/>
  <c r="B243" i="24" a="1"/>
  <c r="B70" i="24" a="1"/>
  <c r="C70" i="24"/>
  <c r="D242" i="24"/>
  <c r="M242" i="14" s="1"/>
  <c r="C242" i="24"/>
  <c r="D70" i="24"/>
  <c r="M70" i="14" s="1"/>
  <c r="B242" i="24" a="1"/>
  <c r="B71" i="24" a="1"/>
  <c r="C71" i="24"/>
  <c r="D71" i="24"/>
  <c r="M71" i="14" s="1"/>
  <c r="D241" i="24"/>
  <c r="M241" i="14" s="1"/>
  <c r="B72" i="24" a="1"/>
  <c r="C72" i="24"/>
  <c r="C241" i="24"/>
  <c r="D72" i="24"/>
  <c r="M72" i="14" s="1"/>
  <c r="B241" i="24" a="1"/>
  <c r="D240" i="24"/>
  <c r="M240" i="14" s="1"/>
  <c r="C240" i="24"/>
  <c r="B240" i="24" a="1"/>
  <c r="B73" i="24" a="1"/>
  <c r="C73" i="24"/>
  <c r="D73" i="24"/>
  <c r="M73" i="14" s="1"/>
  <c r="D239" i="24"/>
  <c r="M239" i="14" s="1"/>
  <c r="C239" i="24"/>
  <c r="B239" i="24" a="1"/>
  <c r="D238" i="24"/>
  <c r="M238" i="14" s="1"/>
  <c r="C238" i="24"/>
  <c r="B238" i="24" a="1"/>
  <c r="B74" i="24" a="1"/>
  <c r="C74" i="24"/>
  <c r="D237" i="24"/>
  <c r="M237" i="14" s="1"/>
  <c r="D74" i="24"/>
  <c r="M74" i="14" s="1"/>
  <c r="C237" i="24"/>
  <c r="B75" i="24" a="1"/>
  <c r="B237" i="24" a="1"/>
  <c r="D236" i="24"/>
  <c r="M236" i="14" s="1"/>
  <c r="C75" i="24"/>
  <c r="D75" i="24"/>
  <c r="M75" i="14" s="1"/>
  <c r="B76" i="24" a="1"/>
  <c r="C76" i="24"/>
  <c r="D76" i="24"/>
  <c r="M76" i="14" s="1"/>
  <c r="B77" i="24" a="1"/>
  <c r="C77" i="24"/>
  <c r="D77" i="24"/>
  <c r="M77" i="14" s="1"/>
  <c r="B78" i="24" a="1"/>
  <c r="C78" i="24"/>
  <c r="D78" i="24"/>
  <c r="M78" i="14" s="1"/>
  <c r="B79" i="24" a="1"/>
  <c r="C79" i="24"/>
  <c r="D79" i="24"/>
  <c r="M79" i="14" s="1"/>
  <c r="B80" i="24" a="1"/>
  <c r="C80" i="24"/>
  <c r="D80" i="24"/>
  <c r="M80" i="14" s="1"/>
  <c r="B81" i="24" a="1"/>
  <c r="C81" i="24"/>
  <c r="D81" i="24"/>
  <c r="M81" i="14" s="1"/>
  <c r="B82" i="24" a="1"/>
  <c r="C82" i="24"/>
  <c r="D82" i="24"/>
  <c r="M82" i="14" s="1"/>
  <c r="B83" i="24" a="1"/>
  <c r="C83" i="24"/>
  <c r="D83" i="24"/>
  <c r="M83" i="14" s="1"/>
  <c r="B84" i="24" a="1"/>
  <c r="C84" i="24"/>
  <c r="D84" i="24"/>
  <c r="M84" i="14" s="1"/>
  <c r="B85" i="24" a="1"/>
  <c r="D723" i="24"/>
  <c r="M723" i="14" s="1"/>
  <c r="C723" i="24"/>
  <c r="B723" i="24" a="1"/>
  <c r="D722" i="24"/>
  <c r="M722" i="14" s="1"/>
  <c r="C722" i="24"/>
  <c r="B722" i="24" a="1"/>
  <c r="D721" i="24"/>
  <c r="M721" i="14" s="1"/>
  <c r="C721" i="24"/>
  <c r="B721" i="24" a="1"/>
  <c r="D720" i="24"/>
  <c r="M720" i="14" s="1"/>
  <c r="C720" i="24"/>
  <c r="B720" i="24" a="1"/>
  <c r="D719" i="24"/>
  <c r="M719" i="14" s="1"/>
  <c r="C719" i="24"/>
  <c r="B719" i="24" a="1"/>
  <c r="D718" i="24"/>
  <c r="M718" i="14" s="1"/>
  <c r="C718" i="24"/>
  <c r="B718" i="24" a="1"/>
  <c r="D717" i="24"/>
  <c r="M717" i="14" s="1"/>
  <c r="C717" i="24"/>
  <c r="B717" i="24" a="1"/>
  <c r="D716" i="24"/>
  <c r="M716" i="14" s="1"/>
  <c r="C716" i="24"/>
  <c r="B716" i="24" a="1"/>
  <c r="D715" i="24"/>
  <c r="M715" i="14" s="1"/>
  <c r="C715" i="24"/>
  <c r="B715" i="24" a="1"/>
  <c r="D714" i="24"/>
  <c r="M714" i="14" s="1"/>
  <c r="C714" i="24"/>
  <c r="B714" i="24" a="1"/>
  <c r="D713" i="24"/>
  <c r="M713" i="14" s="1"/>
  <c r="C713" i="24"/>
  <c r="B713" i="24" a="1"/>
  <c r="D712" i="24"/>
  <c r="M712" i="14" s="1"/>
  <c r="C712" i="24"/>
  <c r="B712" i="24" a="1"/>
  <c r="D711" i="24"/>
  <c r="M711" i="14" s="1"/>
  <c r="C711" i="24"/>
  <c r="B711" i="24" a="1"/>
  <c r="D710" i="24"/>
  <c r="M710" i="14" s="1"/>
  <c r="C710" i="24"/>
  <c r="B710" i="24" a="1"/>
  <c r="D709" i="24"/>
  <c r="M709" i="14" s="1"/>
  <c r="C709" i="24"/>
  <c r="B709" i="24" a="1"/>
  <c r="D708" i="24"/>
  <c r="M708" i="14" s="1"/>
  <c r="C708" i="24"/>
  <c r="B708" i="24" a="1"/>
  <c r="D707" i="24"/>
  <c r="M707" i="14" s="1"/>
  <c r="C707" i="24"/>
  <c r="B707" i="24" a="1"/>
  <c r="D706" i="24"/>
  <c r="M706" i="14" s="1"/>
  <c r="C706" i="24"/>
  <c r="B706" i="24" a="1"/>
  <c r="D705" i="24"/>
  <c r="M705" i="14" s="1"/>
  <c r="C705" i="24"/>
  <c r="B705" i="24" a="1"/>
  <c r="D704" i="24"/>
  <c r="M704" i="14" s="1"/>
  <c r="C704" i="24"/>
  <c r="B704" i="24" a="1"/>
  <c r="D703" i="24"/>
  <c r="M703" i="14" s="1"/>
  <c r="C703" i="24"/>
  <c r="B703" i="24" a="1"/>
  <c r="D702" i="24"/>
  <c r="M702" i="14" s="1"/>
  <c r="C702" i="24"/>
  <c r="B702" i="24" a="1"/>
  <c r="D701" i="24"/>
  <c r="M701" i="14" s="1"/>
  <c r="C701" i="24"/>
  <c r="B701" i="24" a="1"/>
  <c r="D700" i="24"/>
  <c r="M700" i="14" s="1"/>
  <c r="C700" i="24"/>
  <c r="B700" i="24" a="1"/>
  <c r="D699" i="24"/>
  <c r="M699" i="14" s="1"/>
  <c r="C699" i="24"/>
  <c r="B699" i="24" a="1"/>
  <c r="D698" i="24"/>
  <c r="M698" i="14" s="1"/>
  <c r="C698" i="24"/>
  <c r="B698" i="24" a="1"/>
  <c r="D697" i="24"/>
  <c r="M697" i="14" s="1"/>
  <c r="C697" i="24"/>
  <c r="B697" i="24" a="1"/>
  <c r="D696" i="24"/>
  <c r="M696" i="14" s="1"/>
  <c r="C696" i="24"/>
  <c r="B696" i="24" a="1"/>
  <c r="D695" i="24"/>
  <c r="M695" i="14" s="1"/>
  <c r="C695" i="24"/>
  <c r="B695" i="24" a="1"/>
  <c r="D694" i="24"/>
  <c r="M694" i="14" s="1"/>
  <c r="C694" i="24"/>
  <c r="B694" i="24" a="1"/>
  <c r="D693" i="24"/>
  <c r="M693" i="14" s="1"/>
  <c r="C693" i="24"/>
  <c r="B693" i="24" a="1"/>
  <c r="D692" i="24"/>
  <c r="M692" i="14" s="1"/>
  <c r="C692" i="24"/>
  <c r="B692" i="24" a="1"/>
  <c r="D691" i="24"/>
  <c r="M691" i="14" s="1"/>
  <c r="C691" i="24"/>
  <c r="B691" i="24" a="1"/>
  <c r="D690" i="24"/>
  <c r="M690" i="14" s="1"/>
  <c r="C690" i="24"/>
  <c r="B690" i="24" a="1"/>
  <c r="D689" i="24"/>
  <c r="M689" i="14" s="1"/>
  <c r="C689" i="24"/>
  <c r="B689" i="24" a="1"/>
  <c r="D688" i="24"/>
  <c r="M688" i="14" s="1"/>
  <c r="C688" i="24"/>
  <c r="B688" i="24" a="1"/>
  <c r="D687" i="24"/>
  <c r="M687" i="14" s="1"/>
  <c r="C687" i="24"/>
  <c r="B687" i="24" a="1"/>
  <c r="D686" i="24"/>
  <c r="M686" i="14" s="1"/>
  <c r="C686" i="24"/>
  <c r="B686" i="24" a="1"/>
  <c r="D685" i="24"/>
  <c r="M685" i="14" s="1"/>
  <c r="C685" i="24"/>
  <c r="B685" i="24" a="1"/>
  <c r="D684" i="24"/>
  <c r="M684" i="14" s="1"/>
  <c r="C684" i="24"/>
  <c r="B684" i="24" a="1"/>
  <c r="D683" i="24"/>
  <c r="M683" i="14" s="1"/>
  <c r="C683" i="24"/>
  <c r="B683" i="24" a="1"/>
  <c r="D682" i="24"/>
  <c r="M682" i="14" s="1"/>
  <c r="C682" i="24"/>
  <c r="B682" i="24" a="1"/>
  <c r="D681" i="24"/>
  <c r="M681" i="14" s="1"/>
  <c r="C681" i="24"/>
  <c r="B681" i="24" a="1"/>
  <c r="D680" i="24"/>
  <c r="M680" i="14" s="1"/>
  <c r="C680" i="24"/>
  <c r="B680" i="24" a="1"/>
  <c r="D679" i="24"/>
  <c r="M679" i="14" s="1"/>
  <c r="C679" i="24"/>
  <c r="B679" i="24" a="1"/>
  <c r="D678" i="24"/>
  <c r="M678" i="14" s="1"/>
  <c r="C678" i="24"/>
  <c r="B678" i="24" a="1"/>
  <c r="D677" i="24"/>
  <c r="M677" i="14" s="1"/>
  <c r="C677" i="24"/>
  <c r="B677" i="24" a="1"/>
  <c r="D676" i="24"/>
  <c r="M676" i="14" s="1"/>
  <c r="C676" i="24"/>
  <c r="B676" i="24" a="1"/>
  <c r="D675" i="24"/>
  <c r="M675" i="14" s="1"/>
  <c r="C675" i="24"/>
  <c r="B675" i="24" a="1"/>
  <c r="D674" i="24"/>
  <c r="M674" i="14" s="1"/>
  <c r="C674" i="24"/>
  <c r="B674" i="24" a="1"/>
  <c r="D673" i="24"/>
  <c r="M673" i="14" s="1"/>
  <c r="C673" i="24"/>
  <c r="B673" i="24" a="1"/>
  <c r="D672" i="24"/>
  <c r="M672" i="14" s="1"/>
  <c r="C672" i="24"/>
  <c r="B672" i="24" a="1"/>
  <c r="D671" i="24"/>
  <c r="M671" i="14" s="1"/>
  <c r="C671" i="24"/>
  <c r="B671" i="24" a="1"/>
  <c r="D670" i="24"/>
  <c r="M670" i="14" s="1"/>
  <c r="C670" i="24"/>
  <c r="B670" i="24" a="1"/>
  <c r="D669" i="24"/>
  <c r="M669" i="14" s="1"/>
  <c r="C669" i="24"/>
  <c r="B669" i="24" a="1"/>
  <c r="D668" i="24"/>
  <c r="M668" i="14" s="1"/>
  <c r="C668" i="24"/>
  <c r="B668" i="24" a="1"/>
  <c r="D667" i="24"/>
  <c r="M667" i="14" s="1"/>
  <c r="C667" i="24"/>
  <c r="B667" i="24" a="1"/>
  <c r="D666" i="24"/>
  <c r="M666" i="14" s="1"/>
  <c r="C666" i="24"/>
  <c r="B666" i="24" a="1"/>
  <c r="D665" i="24"/>
  <c r="M665" i="14" s="1"/>
  <c r="C665" i="24"/>
  <c r="B665" i="24" a="1"/>
  <c r="D664" i="24"/>
  <c r="M664" i="14" s="1"/>
  <c r="C664" i="24"/>
  <c r="B664" i="24" a="1"/>
  <c r="D663" i="24"/>
  <c r="M663" i="14" s="1"/>
  <c r="C663" i="24"/>
  <c r="B663" i="24" a="1"/>
  <c r="D662" i="24"/>
  <c r="M662" i="14" s="1"/>
  <c r="C662" i="24"/>
  <c r="B662" i="24" a="1"/>
  <c r="D661" i="24"/>
  <c r="M661" i="14" s="1"/>
  <c r="C661" i="24"/>
  <c r="B661" i="24" a="1"/>
  <c r="D660" i="24"/>
  <c r="M660" i="14" s="1"/>
  <c r="C660" i="24"/>
  <c r="B660" i="24" a="1"/>
  <c r="D659" i="24"/>
  <c r="M659" i="14" s="1"/>
  <c r="C659" i="24"/>
  <c r="B659" i="24" a="1"/>
  <c r="D658" i="24"/>
  <c r="M658" i="14" s="1"/>
  <c r="C658" i="24"/>
  <c r="B658" i="24" a="1"/>
  <c r="D657" i="24"/>
  <c r="M657" i="14" s="1"/>
  <c r="C657" i="24"/>
  <c r="B657" i="24" a="1"/>
  <c r="D656" i="24"/>
  <c r="M656" i="14" s="1"/>
  <c r="C656" i="24"/>
  <c r="B656" i="24" a="1"/>
  <c r="D655" i="24"/>
  <c r="M655" i="14" s="1"/>
  <c r="C655" i="24"/>
  <c r="B655" i="24" a="1"/>
  <c r="D654" i="24"/>
  <c r="M654" i="14" s="1"/>
  <c r="C654" i="24"/>
  <c r="B654" i="24" a="1"/>
  <c r="D653" i="24"/>
  <c r="M653" i="14" s="1"/>
  <c r="C653" i="24"/>
  <c r="B653" i="24" a="1"/>
  <c r="D652" i="24"/>
  <c r="M652" i="14" s="1"/>
  <c r="C652" i="24"/>
  <c r="B652" i="24" a="1"/>
  <c r="D651" i="24"/>
  <c r="M651" i="14" s="1"/>
  <c r="C651" i="24"/>
  <c r="B651" i="24" a="1"/>
  <c r="D650" i="24"/>
  <c r="M650" i="14" s="1"/>
  <c r="C650" i="24"/>
  <c r="B650" i="24" a="1"/>
  <c r="D649" i="24"/>
  <c r="M649" i="14" s="1"/>
  <c r="C649" i="24"/>
  <c r="B649" i="24" a="1"/>
  <c r="D648" i="24"/>
  <c r="M648" i="14" s="1"/>
  <c r="C648" i="24"/>
  <c r="B648" i="24" a="1"/>
  <c r="D647" i="24"/>
  <c r="M647" i="14" s="1"/>
  <c r="C647" i="24"/>
  <c r="B647" i="24" a="1"/>
  <c r="D646" i="24"/>
  <c r="M646" i="14" s="1"/>
  <c r="C646" i="24"/>
  <c r="B646" i="24" a="1"/>
  <c r="D645" i="24"/>
  <c r="M645" i="14" s="1"/>
  <c r="C645" i="24"/>
  <c r="B645" i="24" a="1"/>
  <c r="D644" i="24"/>
  <c r="M644" i="14" s="1"/>
  <c r="C644" i="24"/>
  <c r="B644" i="24" a="1"/>
  <c r="D643" i="24"/>
  <c r="M643" i="14" s="1"/>
  <c r="C643" i="24"/>
  <c r="B643" i="24" a="1"/>
  <c r="D642" i="24"/>
  <c r="M642" i="14" s="1"/>
  <c r="C642" i="24"/>
  <c r="B642" i="24" a="1"/>
  <c r="D641" i="24"/>
  <c r="M641" i="14" s="1"/>
  <c r="C641" i="24"/>
  <c r="B641" i="24" a="1"/>
  <c r="D640" i="24"/>
  <c r="M640" i="14" s="1"/>
  <c r="C640" i="24"/>
  <c r="B640" i="24" a="1"/>
  <c r="D639" i="24"/>
  <c r="M639" i="14" s="1"/>
  <c r="C639" i="24"/>
  <c r="B639" i="24" a="1"/>
  <c r="D638" i="24"/>
  <c r="M638" i="14" s="1"/>
  <c r="C638" i="24"/>
  <c r="B638" i="24" a="1"/>
  <c r="D637" i="24"/>
  <c r="M637" i="14" s="1"/>
  <c r="C637" i="24"/>
  <c r="B637" i="24" a="1"/>
  <c r="D636" i="24"/>
  <c r="M636" i="14" s="1"/>
  <c r="C636" i="24"/>
  <c r="B636" i="24" a="1"/>
  <c r="D635" i="24"/>
  <c r="M635" i="14" s="1"/>
  <c r="C635" i="24"/>
  <c r="B635" i="24" a="1"/>
  <c r="D634" i="24"/>
  <c r="M634" i="14" s="1"/>
  <c r="C634" i="24"/>
  <c r="B634" i="24" a="1"/>
  <c r="D633" i="24"/>
  <c r="M633" i="14" s="1"/>
  <c r="C633" i="24"/>
  <c r="B633" i="24" a="1"/>
  <c r="D632" i="24"/>
  <c r="M632" i="14" s="1"/>
  <c r="C632" i="24"/>
  <c r="B632" i="24" a="1"/>
  <c r="D631" i="24"/>
  <c r="M631" i="14" s="1"/>
  <c r="C631" i="24"/>
  <c r="B631" i="24" a="1"/>
  <c r="D630" i="24"/>
  <c r="M630" i="14" s="1"/>
  <c r="C630" i="24"/>
  <c r="B630" i="24" a="1"/>
  <c r="D629" i="24"/>
  <c r="M629" i="14" s="1"/>
  <c r="C629" i="24"/>
  <c r="B629" i="24" a="1"/>
  <c r="D628" i="24"/>
  <c r="M628" i="14" s="1"/>
  <c r="C628" i="24"/>
  <c r="B628" i="24" a="1"/>
  <c r="D627" i="24"/>
  <c r="M627" i="14" s="1"/>
  <c r="C627" i="24"/>
  <c r="B627" i="24" a="1"/>
  <c r="D626" i="24"/>
  <c r="M626" i="14" s="1"/>
  <c r="C626" i="24"/>
  <c r="B626" i="24" a="1"/>
  <c r="D625" i="24"/>
  <c r="M625" i="14" s="1"/>
  <c r="C625" i="24"/>
  <c r="B625" i="24" a="1"/>
  <c r="D624" i="24"/>
  <c r="M624" i="14" s="1"/>
  <c r="C624" i="24"/>
  <c r="B624" i="24" a="1"/>
  <c r="D623" i="24"/>
  <c r="M623" i="14" s="1"/>
  <c r="C623" i="24"/>
  <c r="B623" i="24" a="1"/>
  <c r="D622" i="24"/>
  <c r="M622" i="14" s="1"/>
  <c r="C622" i="24"/>
  <c r="B622" i="24" a="1"/>
  <c r="D621" i="24"/>
  <c r="M621" i="14" s="1"/>
  <c r="C621" i="24"/>
  <c r="B621" i="24" a="1"/>
  <c r="D620" i="24"/>
  <c r="M620" i="14" s="1"/>
  <c r="C620" i="24"/>
  <c r="B620" i="24" a="1"/>
  <c r="B442" i="24" a="1"/>
  <c r="B439" i="24" a="1"/>
  <c r="C438" i="24"/>
  <c r="D436" i="24"/>
  <c r="M436" i="14" s="1"/>
  <c r="B436" i="24" a="1"/>
  <c r="C433" i="24"/>
  <c r="D432" i="24"/>
  <c r="M432" i="14" s="1"/>
  <c r="B432" i="24" a="1"/>
  <c r="C431" i="24"/>
  <c r="D429" i="24"/>
  <c r="M429" i="14" s="1"/>
  <c r="B429" i="24" a="1"/>
  <c r="B428" i="24" a="1"/>
  <c r="D426" i="24"/>
  <c r="M426" i="14" s="1"/>
  <c r="B426" i="24" a="1"/>
  <c r="B425" i="24" a="1"/>
  <c r="C424" i="24"/>
  <c r="D421" i="24"/>
  <c r="M421" i="14" s="1"/>
  <c r="C420" i="24"/>
  <c r="D417" i="24"/>
  <c r="M417" i="14" s="1"/>
  <c r="B417" i="24" a="1"/>
  <c r="C416" i="24"/>
  <c r="D415" i="24"/>
  <c r="M415" i="14" s="1"/>
  <c r="D414" i="24"/>
  <c r="M414" i="14" s="1"/>
  <c r="B36" i="24" a="1"/>
  <c r="C31" i="24"/>
  <c r="D27" i="24"/>
  <c r="M27" i="14" s="1"/>
  <c r="D25" i="24"/>
  <c r="M25" i="14" s="1"/>
  <c r="C22" i="24"/>
  <c r="B19" i="24" a="1"/>
  <c r="B18" i="24" a="1"/>
  <c r="C15" i="24"/>
  <c r="C14" i="24"/>
  <c r="C12" i="24"/>
  <c r="D11" i="24"/>
  <c r="M11" i="14" s="1"/>
  <c r="B10" i="24" a="1"/>
  <c r="C8" i="24"/>
  <c r="D7" i="24"/>
  <c r="M7" i="14" s="1"/>
  <c r="C5" i="24"/>
  <c r="D4" i="24"/>
  <c r="M4" i="14" s="1"/>
  <c r="C2" i="24"/>
  <c r="C85" i="24"/>
  <c r="D85" i="24"/>
  <c r="M85" i="14" s="1"/>
  <c r="C236" i="24"/>
  <c r="B236" i="24" a="1"/>
  <c r="B86" i="24" a="1"/>
  <c r="D235" i="24"/>
  <c r="M235" i="14" s="1"/>
  <c r="C86" i="24"/>
  <c r="D86" i="24"/>
  <c r="M86" i="14" s="1"/>
  <c r="C235" i="24"/>
  <c r="B235" i="24" a="1"/>
  <c r="B87" i="24" a="1"/>
  <c r="C87" i="24"/>
  <c r="D87" i="24"/>
  <c r="M87" i="14" s="1"/>
  <c r="B88" i="24" a="1"/>
  <c r="C88" i="24"/>
  <c r="D234" i="24"/>
  <c r="M234" i="14" s="1"/>
  <c r="C234" i="24"/>
  <c r="D88" i="24"/>
  <c r="M88" i="14" s="1"/>
  <c r="B234" i="24" a="1"/>
  <c r="D233" i="24"/>
  <c r="M233" i="14" s="1"/>
  <c r="C233" i="24"/>
  <c r="B233" i="24" a="1"/>
  <c r="B89" i="24" a="1"/>
  <c r="C89" i="24"/>
  <c r="D89" i="24"/>
  <c r="M89" i="14" s="1"/>
  <c r="D232" i="24"/>
  <c r="M232" i="14" s="1"/>
  <c r="B90" i="24" a="1"/>
  <c r="C90" i="24"/>
  <c r="C232" i="24"/>
  <c r="D90" i="24"/>
  <c r="M90" i="14" s="1"/>
  <c r="B232" i="24" a="1"/>
  <c r="B91" i="24" a="1"/>
  <c r="C91" i="24"/>
  <c r="D231" i="24"/>
  <c r="M231" i="14" s="1"/>
  <c r="C231" i="24"/>
  <c r="D91" i="24"/>
  <c r="M91" i="14" s="1"/>
  <c r="B92" i="24" a="1"/>
  <c r="C92" i="24"/>
  <c r="D92" i="24"/>
  <c r="M92" i="14" s="1"/>
  <c r="B231" i="24" a="1"/>
  <c r="B93" i="24" a="1"/>
  <c r="C93" i="24"/>
  <c r="D230" i="24"/>
  <c r="M230" i="14" s="1"/>
  <c r="C230" i="24"/>
  <c r="B230" i="24" a="1"/>
  <c r="D93" i="24"/>
  <c r="M93" i="14" s="1"/>
  <c r="D229" i="24"/>
  <c r="M229" i="14" s="1"/>
  <c r="C229" i="24"/>
  <c r="B229" i="24" a="1"/>
  <c r="B94" i="24" a="1"/>
  <c r="C94" i="24"/>
  <c r="D94" i="24"/>
  <c r="M94" i="14" s="1"/>
  <c r="D228" i="24"/>
  <c r="M228" i="14" s="1"/>
  <c r="C228" i="24"/>
  <c r="B228" i="24" a="1"/>
  <c r="B95" i="24" a="1"/>
  <c r="C95" i="24"/>
  <c r="D95" i="24"/>
  <c r="M95" i="14" s="1"/>
  <c r="B96" i="24" a="1"/>
  <c r="C96" i="24"/>
  <c r="D96" i="24"/>
  <c r="M96" i="14" s="1"/>
  <c r="B97" i="24" a="1"/>
  <c r="C97" i="24"/>
  <c r="D97" i="24"/>
  <c r="M97" i="14" s="1"/>
  <c r="B98" i="24" a="1"/>
  <c r="C98" i="24"/>
  <c r="D98" i="24"/>
  <c r="M98" i="14" s="1"/>
  <c r="B99" i="24" a="1"/>
  <c r="C99" i="24"/>
  <c r="D99" i="24"/>
  <c r="M99" i="14" s="1"/>
  <c r="B100" i="24" a="1"/>
  <c r="C100" i="24"/>
  <c r="D100" i="24"/>
  <c r="M100" i="14" s="1"/>
  <c r="B101" i="24" a="1"/>
  <c r="C101" i="24"/>
  <c r="D101" i="24"/>
  <c r="M101" i="14" s="1"/>
  <c r="B102" i="24" a="1"/>
  <c r="C102" i="24"/>
  <c r="D227" i="24"/>
  <c r="M227" i="14" s="1"/>
  <c r="C227" i="24"/>
  <c r="B227" i="24" a="1"/>
  <c r="D226" i="24"/>
  <c r="M226" i="14" s="1"/>
  <c r="C226" i="24"/>
  <c r="B226" i="24" a="1"/>
  <c r="D225" i="24"/>
  <c r="M225" i="14" s="1"/>
  <c r="C225" i="24"/>
  <c r="B225" i="24" a="1"/>
  <c r="D224" i="24"/>
  <c r="M224" i="14" s="1"/>
  <c r="C224" i="24"/>
  <c r="B224" i="24" a="1"/>
  <c r="D102" i="24"/>
  <c r="M102" i="14" s="1"/>
  <c r="D223" i="24"/>
  <c r="M223" i="14" s="1"/>
  <c r="C223" i="24"/>
  <c r="B223" i="24" a="1"/>
  <c r="B103" i="24" a="1"/>
  <c r="D222" i="24"/>
  <c r="M222" i="14" s="1"/>
  <c r="C103" i="24"/>
  <c r="D103" i="24"/>
  <c r="M103" i="14" s="1"/>
  <c r="C222" i="24"/>
  <c r="B222" i="24" a="1"/>
  <c r="D221" i="24"/>
  <c r="M221" i="14" s="1"/>
  <c r="C221" i="24"/>
  <c r="B221" i="24" a="1"/>
  <c r="D220" i="24"/>
  <c r="M220" i="14" s="1"/>
  <c r="C220" i="24"/>
  <c r="B220" i="24" a="1"/>
  <c r="D219" i="24"/>
  <c r="M219" i="14" s="1"/>
  <c r="C219" i="24"/>
  <c r="B219" i="24" a="1"/>
  <c r="D218" i="24"/>
  <c r="M218" i="14" s="1"/>
  <c r="C218" i="24"/>
  <c r="B218" i="24" a="1"/>
  <c r="D217" i="24"/>
  <c r="M217" i="14" s="1"/>
  <c r="C217" i="24"/>
  <c r="B217" i="24" a="1"/>
  <c r="D216" i="24"/>
  <c r="M216" i="14" s="1"/>
  <c r="B216" i="24" a="1"/>
  <c r="D215" i="24"/>
  <c r="M215" i="14" s="1"/>
  <c r="C214" i="24"/>
  <c r="D213" i="24"/>
  <c r="M213" i="14" s="1"/>
  <c r="C213" i="24"/>
  <c r="D211" i="24"/>
  <c r="M211" i="14" s="1"/>
  <c r="B211" i="24" a="1"/>
  <c r="D210" i="24"/>
  <c r="M210" i="14" s="1"/>
  <c r="C210" i="24"/>
  <c r="B210" i="24" a="1"/>
  <c r="B209" i="24" a="1"/>
  <c r="D208" i="24"/>
  <c r="M208" i="14" s="1"/>
  <c r="D207" i="24"/>
  <c r="M207" i="14" s="1"/>
  <c r="C141" i="24"/>
  <c r="B140" i="24" a="1"/>
  <c r="C139" i="24"/>
  <c r="C138" i="24"/>
  <c r="C137" i="24"/>
  <c r="D136" i="24"/>
  <c r="M136" i="14" s="1"/>
  <c r="B136" i="24" a="1"/>
  <c r="D135" i="24"/>
  <c r="M135" i="14" s="1"/>
  <c r="C135" i="24"/>
  <c r="C133" i="24"/>
  <c r="B132" i="24" a="1"/>
  <c r="B131" i="24" a="1"/>
  <c r="B130" i="24" a="1"/>
  <c r="D129" i="24"/>
  <c r="M129" i="14" s="1"/>
  <c r="D128" i="24"/>
  <c r="M128" i="14" s="1"/>
  <c r="C127" i="24"/>
  <c r="C126" i="24"/>
  <c r="C125" i="24"/>
  <c r="B121" i="24" a="1"/>
  <c r="D120" i="24"/>
  <c r="M120" i="14" s="1"/>
  <c r="B119" i="24" a="1"/>
  <c r="C118" i="24"/>
  <c r="D117" i="24"/>
  <c r="M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M107" i="14" s="1"/>
  <c r="B105" i="24" a="1"/>
  <c r="D104" i="24"/>
  <c r="M104" i="14" s="1"/>
  <c r="D619" i="24"/>
  <c r="M619" i="14" s="1"/>
  <c r="C619" i="24"/>
  <c r="B619" i="24" a="1"/>
  <c r="D618" i="24"/>
  <c r="M618" i="14" s="1"/>
  <c r="C618" i="24"/>
  <c r="B618" i="24" a="1"/>
  <c r="D617" i="24"/>
  <c r="M617" i="14" s="1"/>
  <c r="C617" i="24"/>
  <c r="B617" i="24" a="1"/>
  <c r="D616" i="24"/>
  <c r="M616" i="14" s="1"/>
  <c r="C616" i="24"/>
  <c r="B616" i="24" a="1"/>
  <c r="D615" i="24"/>
  <c r="M615" i="14" s="1"/>
  <c r="C615" i="24"/>
  <c r="B615" i="24" a="1"/>
  <c r="D614" i="24"/>
  <c r="M614" i="14" s="1"/>
  <c r="C614" i="24"/>
  <c r="B614" i="24" a="1"/>
  <c r="D613" i="24"/>
  <c r="M613" i="14" s="1"/>
  <c r="C613" i="24"/>
  <c r="B613" i="24" a="1"/>
  <c r="D612" i="24"/>
  <c r="M612" i="14" s="1"/>
  <c r="C612" i="24"/>
  <c r="B612" i="24" a="1"/>
  <c r="D611" i="24"/>
  <c r="C611" i="24"/>
  <c r="B611" i="24" a="1"/>
  <c r="D610" i="24"/>
  <c r="M610" i="14" s="1"/>
  <c r="C610" i="24"/>
  <c r="B610" i="24" a="1"/>
  <c r="D609" i="24"/>
  <c r="M609" i="14" s="1"/>
  <c r="C609" i="24"/>
  <c r="B609" i="24" a="1"/>
  <c r="D608" i="24"/>
  <c r="C608" i="24"/>
  <c r="B608" i="24" a="1"/>
  <c r="D607" i="24"/>
  <c r="M607" i="14" s="1"/>
  <c r="C607" i="24"/>
  <c r="B607" i="24" a="1"/>
  <c r="D606" i="24"/>
  <c r="M606" i="14" s="1"/>
  <c r="C606" i="24"/>
  <c r="B606" i="24" a="1"/>
  <c r="D605" i="24"/>
  <c r="M605" i="14" s="1"/>
  <c r="C605" i="24"/>
  <c r="B605" i="24" a="1"/>
  <c r="D604" i="24"/>
  <c r="M604" i="14" s="1"/>
  <c r="C604" i="24"/>
  <c r="B604" i="24" a="1"/>
  <c r="D603" i="24"/>
  <c r="M603" i="14" s="1"/>
  <c r="C603" i="24"/>
  <c r="B603" i="24" a="1"/>
  <c r="D602" i="24"/>
  <c r="M602" i="14" s="1"/>
  <c r="C602" i="24"/>
  <c r="B602" i="24" a="1"/>
  <c r="D601" i="24"/>
  <c r="M601" i="14" s="1"/>
  <c r="C601" i="24"/>
  <c r="B601" i="24" a="1"/>
  <c r="D600" i="24"/>
  <c r="M600" i="14" s="1"/>
  <c r="C600" i="24"/>
  <c r="B600" i="24" a="1"/>
  <c r="D599" i="24"/>
  <c r="M599" i="14" s="1"/>
  <c r="C599" i="24"/>
  <c r="B599" i="24" a="1"/>
  <c r="D598" i="24"/>
  <c r="M598" i="14" s="1"/>
  <c r="C598" i="24"/>
  <c r="B598" i="24" a="1"/>
  <c r="D597" i="24"/>
  <c r="M597" i="14" s="1"/>
  <c r="C597" i="24"/>
  <c r="B597" i="24" a="1"/>
  <c r="D596" i="24"/>
  <c r="M596" i="14" s="1"/>
  <c r="C596" i="24"/>
  <c r="B596" i="24" a="1"/>
  <c r="D595" i="24"/>
  <c r="M595" i="14" s="1"/>
  <c r="C595" i="24"/>
  <c r="B595" i="24" a="1"/>
  <c r="D594" i="24"/>
  <c r="M594" i="14" s="1"/>
  <c r="C594" i="24"/>
  <c r="B594" i="24" a="1"/>
  <c r="D593" i="24"/>
  <c r="M593" i="14" s="1"/>
  <c r="C593" i="24"/>
  <c r="B593" i="24" a="1"/>
  <c r="D592" i="24"/>
  <c r="M592" i="14" s="1"/>
  <c r="C592" i="24"/>
  <c r="B592" i="24" a="1"/>
  <c r="D591" i="24"/>
  <c r="M591" i="14" s="1"/>
  <c r="C591" i="24"/>
  <c r="B591" i="24" a="1"/>
  <c r="D590" i="24"/>
  <c r="M590" i="14" s="1"/>
  <c r="C590" i="24"/>
  <c r="B590" i="24" a="1"/>
  <c r="D589" i="24"/>
  <c r="M589" i="14" s="1"/>
  <c r="C589" i="24"/>
  <c r="B589" i="24" a="1"/>
  <c r="D588" i="24"/>
  <c r="M588" i="14" s="1"/>
  <c r="C588" i="24"/>
  <c r="B588" i="24" a="1"/>
  <c r="D587" i="24"/>
  <c r="M587" i="14" s="1"/>
  <c r="C587" i="24"/>
  <c r="B587" i="24" a="1"/>
  <c r="D586" i="24"/>
  <c r="M586" i="14" s="1"/>
  <c r="C586" i="24"/>
  <c r="B586" i="24" a="1"/>
  <c r="D585" i="24"/>
  <c r="M585" i="14" s="1"/>
  <c r="C585" i="24"/>
  <c r="B585" i="24" a="1"/>
  <c r="D584" i="24"/>
  <c r="M584" i="14" s="1"/>
  <c r="C584" i="24"/>
  <c r="B584" i="24" a="1"/>
  <c r="D583" i="24"/>
  <c r="M583" i="14" s="1"/>
  <c r="C583" i="24"/>
  <c r="B583" i="24" a="1"/>
  <c r="D582" i="24"/>
  <c r="M582" i="14" s="1"/>
  <c r="C582" i="24"/>
  <c r="B582" i="24" a="1"/>
  <c r="D581" i="24"/>
  <c r="M581" i="14" s="1"/>
  <c r="C581" i="24"/>
  <c r="B581" i="24" a="1"/>
  <c r="D580" i="24"/>
  <c r="M580" i="14" s="1"/>
  <c r="C580" i="24"/>
  <c r="B580" i="24" a="1"/>
  <c r="D579" i="24"/>
  <c r="M579" i="14" s="1"/>
  <c r="C579" i="24"/>
  <c r="B579" i="24" a="1"/>
  <c r="D578" i="24"/>
  <c r="M578" i="14" s="1"/>
  <c r="C578" i="24"/>
  <c r="B578" i="24" a="1"/>
  <c r="D577" i="24"/>
  <c r="M577" i="14" s="1"/>
  <c r="C577" i="24"/>
  <c r="B577" i="24" a="1"/>
  <c r="D576" i="24"/>
  <c r="M576" i="14" s="1"/>
  <c r="C576" i="24"/>
  <c r="B576" i="24" a="1"/>
  <c r="D575" i="24"/>
  <c r="M575" i="14" s="1"/>
  <c r="C575" i="24"/>
  <c r="B575" i="24" a="1"/>
  <c r="D574" i="24"/>
  <c r="M574" i="14" s="1"/>
  <c r="C574" i="24"/>
  <c r="B574" i="24" a="1"/>
  <c r="D573" i="24"/>
  <c r="M573" i="14" s="1"/>
  <c r="C573" i="24"/>
  <c r="B573" i="24" a="1"/>
  <c r="D572" i="24"/>
  <c r="M572" i="14" s="1"/>
  <c r="C572" i="24"/>
  <c r="B572" i="24" a="1"/>
  <c r="D571" i="24"/>
  <c r="M571" i="14" s="1"/>
  <c r="C571" i="24"/>
  <c r="B571" i="24" a="1"/>
  <c r="D570" i="24"/>
  <c r="M570" i="14" s="1"/>
  <c r="C570" i="24"/>
  <c r="B570" i="24" a="1"/>
  <c r="D569" i="24"/>
  <c r="M569" i="14" s="1"/>
  <c r="C569" i="24"/>
  <c r="B569" i="24" a="1"/>
  <c r="D568" i="24"/>
  <c r="M568" i="14" s="1"/>
  <c r="C568" i="24"/>
  <c r="B568" i="24" a="1"/>
  <c r="D567" i="24"/>
  <c r="M567" i="14" s="1"/>
  <c r="C567" i="24"/>
  <c r="B567" i="24" a="1"/>
  <c r="D566" i="24"/>
  <c r="M566" i="14" s="1"/>
  <c r="C566" i="24"/>
  <c r="B566" i="24" a="1"/>
  <c r="D565" i="24"/>
  <c r="M565" i="14" s="1"/>
  <c r="C565" i="24"/>
  <c r="B565" i="24" a="1"/>
  <c r="D564" i="24"/>
  <c r="M564" i="14" s="1"/>
  <c r="C564" i="24"/>
  <c r="B564" i="24" a="1"/>
  <c r="D563" i="24"/>
  <c r="M563" i="14" s="1"/>
  <c r="C563" i="24"/>
  <c r="B563" i="24" a="1"/>
  <c r="D562" i="24"/>
  <c r="M562" i="14" s="1"/>
  <c r="C562" i="24"/>
  <c r="B562" i="24" a="1"/>
  <c r="D561" i="24"/>
  <c r="M561" i="14" s="1"/>
  <c r="C561" i="24"/>
  <c r="B561" i="24" a="1"/>
  <c r="D560" i="24"/>
  <c r="M560" i="14" s="1"/>
  <c r="C560" i="24"/>
  <c r="B560" i="24" a="1"/>
  <c r="D559" i="24"/>
  <c r="M559" i="14" s="1"/>
  <c r="C559" i="24"/>
  <c r="B559" i="24" a="1"/>
  <c r="D558" i="24"/>
  <c r="M558" i="14" s="1"/>
  <c r="C558" i="24"/>
  <c r="B558" i="24" a="1"/>
  <c r="D557" i="24"/>
  <c r="M557" i="14" s="1"/>
  <c r="C557" i="24"/>
  <c r="B557" i="24" a="1"/>
  <c r="D556" i="24"/>
  <c r="M556" i="14" s="1"/>
  <c r="C556" i="24"/>
  <c r="B556" i="24" a="1"/>
  <c r="D555" i="24"/>
  <c r="M555" i="14" s="1"/>
  <c r="C555" i="24"/>
  <c r="B555" i="24" a="1"/>
  <c r="D554" i="24"/>
  <c r="M554" i="14" s="1"/>
  <c r="C554" i="24"/>
  <c r="B554" i="24" a="1"/>
  <c r="D553" i="24"/>
  <c r="M553" i="14" s="1"/>
  <c r="C553" i="24"/>
  <c r="B553" i="24" a="1"/>
  <c r="D552" i="24"/>
  <c r="M552" i="14" s="1"/>
  <c r="C552" i="24"/>
  <c r="B552" i="24" a="1"/>
  <c r="D551" i="24"/>
  <c r="C551" i="24"/>
  <c r="B551" i="24" a="1"/>
  <c r="D550" i="24"/>
  <c r="M550" i="14" s="1"/>
  <c r="C550" i="24"/>
  <c r="B550" i="24" a="1"/>
  <c r="D549" i="24"/>
  <c r="M549" i="14" s="1"/>
  <c r="C549" i="24"/>
  <c r="B549" i="24" a="1"/>
  <c r="D548" i="24"/>
  <c r="M548" i="14" s="1"/>
  <c r="C548" i="24"/>
  <c r="B548" i="24" a="1"/>
  <c r="D547" i="24"/>
  <c r="M547" i="14" s="1"/>
  <c r="C547" i="24"/>
  <c r="B547" i="24" a="1"/>
  <c r="D546" i="24"/>
  <c r="M546" i="14" s="1"/>
  <c r="C546" i="24"/>
  <c r="B546" i="24" a="1"/>
  <c r="D545" i="24"/>
  <c r="M545" i="14" s="1"/>
  <c r="C545" i="24"/>
  <c r="B545" i="24" a="1"/>
  <c r="D544" i="24"/>
  <c r="M544" i="14" s="1"/>
  <c r="C544" i="24"/>
  <c r="B544" i="24" a="1"/>
  <c r="D543" i="24"/>
  <c r="M543" i="14" s="1"/>
  <c r="C543" i="24"/>
  <c r="B543" i="24" a="1"/>
  <c r="D542" i="24"/>
  <c r="M542" i="14" s="1"/>
  <c r="C542" i="24"/>
  <c r="B542" i="24" a="1"/>
  <c r="D541" i="24"/>
  <c r="M541" i="14" s="1"/>
  <c r="C541" i="24"/>
  <c r="B541" i="24" a="1"/>
  <c r="D540" i="24"/>
  <c r="M540" i="14" s="1"/>
  <c r="C540" i="24"/>
  <c r="B540" i="24" a="1"/>
  <c r="D539" i="24"/>
  <c r="M539" i="14" s="1"/>
  <c r="C539" i="24"/>
  <c r="B539" i="24" a="1"/>
  <c r="D538" i="24"/>
  <c r="M538" i="14" s="1"/>
  <c r="C538" i="24"/>
  <c r="B538" i="24" a="1"/>
  <c r="D537" i="24"/>
  <c r="M537" i="14" s="1"/>
  <c r="C537" i="24"/>
  <c r="B537" i="24" a="1"/>
  <c r="D536" i="24"/>
  <c r="M536" i="14" s="1"/>
  <c r="C536" i="24"/>
  <c r="B536" i="24" a="1"/>
  <c r="D535" i="24"/>
  <c r="M535" i="14" s="1"/>
  <c r="C535" i="24"/>
  <c r="B535" i="24" a="1"/>
  <c r="D534" i="24"/>
  <c r="M534" i="14" s="1"/>
  <c r="C534" i="24"/>
  <c r="B534" i="24" a="1"/>
  <c r="D533" i="24"/>
  <c r="M533" i="14" s="1"/>
  <c r="C533" i="24"/>
  <c r="B533" i="24" a="1"/>
  <c r="D532" i="24"/>
  <c r="M532" i="14" s="1"/>
  <c r="C532" i="24"/>
  <c r="B532" i="24" a="1"/>
  <c r="D531" i="24"/>
  <c r="M531" i="14" s="1"/>
  <c r="C531" i="24"/>
  <c r="B531" i="24" a="1"/>
  <c r="D530" i="24"/>
  <c r="M530" i="14" s="1"/>
  <c r="C530" i="24"/>
  <c r="B530" i="24" a="1"/>
  <c r="D529" i="24"/>
  <c r="M529" i="14" s="1"/>
  <c r="C529" i="24"/>
  <c r="B529" i="24" a="1"/>
  <c r="D528" i="24"/>
  <c r="M528" i="14" s="1"/>
  <c r="C528" i="24"/>
  <c r="B528" i="24" a="1"/>
  <c r="D527" i="24"/>
  <c r="M527" i="14" s="1"/>
  <c r="C527" i="24"/>
  <c r="B527" i="24" a="1"/>
  <c r="D526" i="24"/>
  <c r="M526" i="14" s="1"/>
  <c r="C526" i="24"/>
  <c r="B526" i="24" a="1"/>
  <c r="D525" i="24"/>
  <c r="M525" i="14" s="1"/>
  <c r="C525" i="24"/>
  <c r="B525" i="24" a="1"/>
  <c r="D524" i="24"/>
  <c r="M524" i="14" s="1"/>
  <c r="C524" i="24"/>
  <c r="B524" i="24" a="1"/>
  <c r="D523" i="24"/>
  <c r="M523" i="14" s="1"/>
  <c r="C523" i="24"/>
  <c r="B523" i="24" a="1"/>
  <c r="D522" i="24"/>
  <c r="M522" i="14" s="1"/>
  <c r="C522" i="24"/>
  <c r="B522" i="24" a="1"/>
  <c r="D521" i="24"/>
  <c r="M521" i="14" s="1"/>
  <c r="C521" i="24"/>
  <c r="B521" i="24" a="1"/>
  <c r="D520" i="24"/>
  <c r="M520" i="14" s="1"/>
  <c r="C520" i="24"/>
  <c r="B520" i="24" a="1"/>
  <c r="D519" i="24"/>
  <c r="M519" i="14" s="1"/>
  <c r="C519" i="24"/>
  <c r="B519" i="24" a="1"/>
  <c r="D518" i="24"/>
  <c r="M518" i="14" s="1"/>
  <c r="C518" i="24"/>
  <c r="B518" i="24" a="1"/>
  <c r="D517" i="24"/>
  <c r="M517" i="14" s="1"/>
  <c r="C517" i="24"/>
  <c r="B517" i="24" a="1"/>
  <c r="D468" i="24"/>
  <c r="M468" i="14" s="1"/>
  <c r="B468" i="24" a="1"/>
  <c r="D467" i="24"/>
  <c r="M467" i="14" s="1"/>
  <c r="B467" i="24" a="1"/>
  <c r="C466" i="24"/>
  <c r="D465" i="24"/>
  <c r="M465" i="14" s="1"/>
  <c r="B465" i="24" a="1"/>
  <c r="D464" i="24"/>
  <c r="M464" i="14" s="1"/>
  <c r="D463" i="24"/>
  <c r="M463" i="14" s="1"/>
  <c r="C461" i="24"/>
  <c r="D460" i="24"/>
  <c r="M460" i="14" s="1"/>
  <c r="B460" i="24" a="1"/>
  <c r="D459" i="24"/>
  <c r="M459" i="14" s="1"/>
  <c r="B459" i="24" a="1"/>
  <c r="D458" i="24"/>
  <c r="M458" i="14" s="1"/>
  <c r="B458" i="24" a="1"/>
  <c r="D457" i="24"/>
  <c r="M457" i="14" s="1"/>
  <c r="B457" i="24" a="1"/>
  <c r="D456" i="24"/>
  <c r="M456" i="14" s="1"/>
  <c r="C455" i="24"/>
  <c r="D454" i="24"/>
  <c r="M454" i="14" s="1"/>
  <c r="B454" i="24" a="1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D448" i="24"/>
  <c r="M448" i="14" s="1"/>
  <c r="C448" i="24"/>
  <c r="B448" i="24" a="1"/>
  <c r="C447" i="24"/>
  <c r="B447" i="24" a="1"/>
  <c r="C446" i="24"/>
  <c r="C445" i="24"/>
  <c r="C444" i="24"/>
  <c r="C443" i="24"/>
  <c r="D442" i="24"/>
  <c r="M442" i="14" s="1"/>
  <c r="C441" i="24"/>
  <c r="B441" i="24" a="1"/>
  <c r="D440" i="24"/>
  <c r="M440" i="14" s="1"/>
  <c r="B440" i="24" a="1"/>
  <c r="D439" i="24"/>
  <c r="M439" i="14" s="1"/>
  <c r="C437" i="24"/>
  <c r="C436" i="24"/>
  <c r="D435" i="24"/>
  <c r="M435" i="14" s="1"/>
  <c r="B435" i="24" a="1"/>
  <c r="D434" i="24"/>
  <c r="M434" i="14" s="1"/>
  <c r="B434" i="24" a="1"/>
  <c r="D433" i="24"/>
  <c r="M433" i="14" s="1"/>
  <c r="B433" i="24" a="1"/>
  <c r="C432" i="24"/>
  <c r="D431" i="24"/>
  <c r="M431" i="14" s="1"/>
  <c r="B431" i="24" a="1"/>
  <c r="C430" i="24"/>
  <c r="B430" i="24" a="1"/>
  <c r="D428" i="24"/>
  <c r="M428" i="14" s="1"/>
  <c r="D427" i="24"/>
  <c r="M427" i="14" s="1"/>
  <c r="C427" i="24"/>
  <c r="C426" i="24"/>
  <c r="D425" i="24"/>
  <c r="M425" i="14" s="1"/>
  <c r="B424" i="24" a="1"/>
  <c r="D423" i="24"/>
  <c r="M423" i="14" s="1"/>
  <c r="B423" i="24" a="1"/>
  <c r="D422" i="24"/>
  <c r="M422" i="14" s="1"/>
  <c r="C422" i="24"/>
  <c r="C421" i="24"/>
  <c r="D419" i="24"/>
  <c r="M419" i="14" s="1"/>
  <c r="B419" i="24" a="1"/>
  <c r="D418" i="24"/>
  <c r="M418" i="14" s="1"/>
  <c r="B418" i="24" a="1"/>
  <c r="C417" i="24"/>
  <c r="D416" i="24"/>
  <c r="M416" i="14" s="1"/>
  <c r="B416" i="24" a="1"/>
  <c r="B415" i="24" a="1"/>
  <c r="C414" i="24"/>
  <c r="D36" i="24"/>
  <c r="M36" i="14" s="1"/>
  <c r="B34" i="24" a="1"/>
  <c r="B33" i="24" a="1"/>
  <c r="B32" i="24" a="1"/>
  <c r="D29" i="24"/>
  <c r="M29" i="14" s="1"/>
  <c r="D28" i="24"/>
  <c r="M28" i="14" s="1"/>
  <c r="C27" i="24"/>
  <c r="D24" i="24"/>
  <c r="M24" i="14" s="1"/>
  <c r="D23" i="24"/>
  <c r="M23" i="14" s="1"/>
  <c r="B23" i="24" a="1"/>
  <c r="D20" i="24"/>
  <c r="M20" i="14" s="1"/>
  <c r="C19" i="24"/>
  <c r="D18" i="24"/>
  <c r="M18" i="14" s="1"/>
  <c r="B16" i="24" a="1"/>
  <c r="D14" i="24"/>
  <c r="M14" i="14" s="1"/>
  <c r="B11" i="24" a="1"/>
  <c r="C9" i="24"/>
  <c r="B6" i="24" a="1"/>
  <c r="C4" i="24"/>
  <c r="B104" i="24" a="1"/>
  <c r="B53" i="24" a="1"/>
  <c r="D52" i="24"/>
  <c r="M52" i="14" s="1"/>
  <c r="D51" i="24"/>
  <c r="M51" i="14" s="1"/>
  <c r="D50" i="24"/>
  <c r="M50" i="14" s="1"/>
  <c r="B48" i="24" a="1"/>
  <c r="B47" i="24" a="1"/>
  <c r="B42" i="24" a="1"/>
  <c r="B41" i="24" a="1"/>
  <c r="C40" i="24"/>
  <c r="C39" i="24"/>
  <c r="D38" i="24"/>
  <c r="M38" i="14" s="1"/>
  <c r="C36" i="24"/>
  <c r="C35" i="24"/>
  <c r="C34" i="24"/>
  <c r="C29" i="24"/>
  <c r="C28" i="24"/>
  <c r="D26" i="24"/>
  <c r="M26" i="14" s="1"/>
  <c r="B22" i="24" a="1"/>
  <c r="D19" i="24"/>
  <c r="M19" i="14" s="1"/>
  <c r="C18" i="24"/>
  <c r="B17" i="24" a="1"/>
  <c r="D8" i="24"/>
  <c r="M8" i="14" s="1"/>
  <c r="C6" i="24"/>
  <c r="B4" i="24" a="1"/>
  <c r="B2" i="24" a="1"/>
  <c r="C192" i="24"/>
  <c r="D192" i="24"/>
  <c r="M192" i="14" s="1"/>
  <c r="B193" i="24" a="1"/>
  <c r="C193" i="24"/>
  <c r="D193" i="24"/>
  <c r="M193" i="14" s="1"/>
  <c r="B194" i="24" a="1"/>
  <c r="C194" i="24"/>
  <c r="D194" i="24"/>
  <c r="M194" i="14" s="1"/>
  <c r="B195" i="24" a="1"/>
  <c r="C195" i="24"/>
  <c r="D195" i="24"/>
  <c r="M195" i="14" s="1"/>
  <c r="B196" i="24" a="1"/>
  <c r="C196" i="24"/>
  <c r="D196" i="24"/>
  <c r="M196" i="14" s="1"/>
  <c r="B197" i="24" a="1"/>
  <c r="C197" i="24"/>
  <c r="D197" i="24"/>
  <c r="M197" i="14" s="1"/>
  <c r="B198" i="24" a="1"/>
  <c r="C198" i="24"/>
  <c r="D198" i="24"/>
  <c r="M198" i="14" s="1"/>
  <c r="B199" i="24" a="1"/>
  <c r="C199" i="24"/>
  <c r="D199" i="24"/>
  <c r="M199" i="14" s="1"/>
  <c r="B200" i="24" a="1"/>
  <c r="C200" i="24"/>
  <c r="D200" i="24"/>
  <c r="M200" i="14" s="1"/>
  <c r="B201" i="24" a="1"/>
  <c r="C201" i="24"/>
  <c r="D201" i="24"/>
  <c r="M201" i="14" s="1"/>
  <c r="B202" i="24" a="1"/>
  <c r="C202" i="24"/>
  <c r="D202" i="24"/>
  <c r="M202" i="14" s="1"/>
  <c r="B203" i="24" a="1"/>
  <c r="C203" i="24"/>
  <c r="D203" i="24"/>
  <c r="M203" i="14" s="1"/>
  <c r="B204" i="24" a="1"/>
  <c r="C204" i="24"/>
  <c r="D204" i="24"/>
  <c r="M204" i="14" s="1"/>
  <c r="D3" i="24"/>
  <c r="M3" i="14" s="1"/>
  <c r="D6" i="24"/>
  <c r="M6" i="14" s="1"/>
  <c r="C7" i="24"/>
  <c r="B21" i="24" a="1"/>
  <c r="B205" i="24" a="1"/>
  <c r="C205" i="24"/>
  <c r="D205" i="24"/>
  <c r="M205" i="14" s="1"/>
  <c r="B206" i="24" a="1"/>
  <c r="C206" i="24"/>
  <c r="D206" i="24"/>
  <c r="M206" i="14" s="1"/>
  <c r="B207" i="24" a="1"/>
  <c r="C207" i="24"/>
  <c r="D22" i="24"/>
  <c r="M22" i="14" s="1"/>
  <c r="C23" i="24"/>
  <c r="C25" i="24"/>
  <c r="C26" i="24"/>
  <c r="B27" i="24" a="1"/>
  <c r="B29" i="24" a="1"/>
  <c r="B30" i="24" a="1"/>
  <c r="D30" i="24"/>
  <c r="M30" i="14" s="1"/>
  <c r="C32" i="24"/>
  <c r="C33" i="24"/>
  <c r="D34" i="24"/>
  <c r="M34" i="14" s="1"/>
  <c r="B38" i="24" a="1"/>
  <c r="B40" i="24" a="1"/>
  <c r="D41" i="24"/>
  <c r="M41" i="14" s="1"/>
  <c r="D42" i="24"/>
  <c r="M42" i="14" s="1"/>
  <c r="B43" i="24" a="1"/>
  <c r="B44" i="24" a="1"/>
  <c r="C44" i="24"/>
  <c r="D45" i="24"/>
  <c r="M45" i="14" s="1"/>
  <c r="D48" i="24"/>
  <c r="M48" i="14" s="1"/>
  <c r="B49" i="24" a="1"/>
  <c r="D49" i="24"/>
  <c r="M49" i="14" s="1"/>
  <c r="B51" i="24" a="1"/>
  <c r="B52" i="24" a="1"/>
  <c r="C53" i="24"/>
  <c r="B54" i="24" a="1"/>
  <c r="D54" i="24"/>
  <c r="M54" i="14" s="1"/>
  <c r="D105" i="24"/>
  <c r="M105" i="14" s="1"/>
  <c r="C106" i="24"/>
  <c r="C107" i="24"/>
  <c r="C108" i="24"/>
  <c r="B111" i="24" a="1"/>
  <c r="B112" i="24" a="1"/>
  <c r="D113" i="24"/>
  <c r="M113" i="14" s="1"/>
  <c r="B114" i="24" a="1"/>
  <c r="D114" i="24"/>
  <c r="M114" i="14" s="1"/>
  <c r="D516" i="24"/>
  <c r="M516" i="14" s="1"/>
  <c r="C516" i="24"/>
  <c r="B516" i="24" a="1"/>
  <c r="D515" i="24"/>
  <c r="M515" i="14" s="1"/>
  <c r="C515" i="24"/>
  <c r="B515" i="24" a="1"/>
  <c r="D514" i="24"/>
  <c r="M514" i="14" s="1"/>
  <c r="C514" i="24"/>
  <c r="B514" i="24" a="1"/>
  <c r="D513" i="24"/>
  <c r="M513" i="14" s="1"/>
  <c r="C513" i="24"/>
  <c r="B513" i="24" a="1"/>
  <c r="D512" i="24"/>
  <c r="M512" i="14" s="1"/>
  <c r="C512" i="24"/>
  <c r="B512" i="24" a="1"/>
  <c r="D511" i="24"/>
  <c r="M511" i="14" s="1"/>
  <c r="C511" i="24"/>
  <c r="B511" i="24" a="1"/>
  <c r="D510" i="24"/>
  <c r="M510" i="14" s="1"/>
  <c r="C510" i="24"/>
  <c r="B510" i="24" a="1"/>
  <c r="D509" i="24"/>
  <c r="M509" i="14" s="1"/>
  <c r="C509" i="24"/>
  <c r="B509" i="24" a="1"/>
  <c r="D508" i="24"/>
  <c r="M508" i="14" s="1"/>
  <c r="C508" i="24"/>
  <c r="B508" i="24" a="1"/>
  <c r="D507" i="24"/>
  <c r="M507" i="14" s="1"/>
  <c r="C507" i="24"/>
  <c r="B507" i="24" a="1"/>
  <c r="D506" i="24"/>
  <c r="M506" i="14" s="1"/>
  <c r="C506" i="24"/>
  <c r="B506" i="24" a="1"/>
  <c r="D505" i="24"/>
  <c r="M505" i="14" s="1"/>
  <c r="C505" i="24"/>
  <c r="B505" i="24" a="1"/>
  <c r="D504" i="24"/>
  <c r="M504" i="14" s="1"/>
  <c r="C504" i="24"/>
  <c r="B504" i="24" a="1"/>
  <c r="D503" i="24"/>
  <c r="M503" i="14" s="1"/>
  <c r="C503" i="24"/>
  <c r="B503" i="24" a="1"/>
  <c r="D502" i="24"/>
  <c r="M502" i="14" s="1"/>
  <c r="C502" i="24"/>
  <c r="B502" i="24" a="1"/>
  <c r="D501" i="24"/>
  <c r="M501" i="14" s="1"/>
  <c r="C501" i="24"/>
  <c r="B501" i="24" a="1"/>
  <c r="D500" i="24"/>
  <c r="M500" i="14" s="1"/>
  <c r="C500" i="24"/>
  <c r="B500" i="24" a="1"/>
  <c r="D499" i="24"/>
  <c r="M499" i="14" s="1"/>
  <c r="C499" i="24"/>
  <c r="B499" i="24" a="1"/>
  <c r="D498" i="24"/>
  <c r="M498" i="14" s="1"/>
  <c r="C498" i="24"/>
  <c r="B498" i="24" a="1"/>
  <c r="D497" i="24"/>
  <c r="M497" i="14" s="1"/>
  <c r="C497" i="24"/>
  <c r="B497" i="24" a="1"/>
  <c r="D496" i="24"/>
  <c r="M496" i="14" s="1"/>
  <c r="C496" i="24"/>
  <c r="B496" i="24" a="1"/>
  <c r="D495" i="24"/>
  <c r="M495" i="14" s="1"/>
  <c r="C495" i="24"/>
  <c r="B495" i="24" a="1"/>
  <c r="D494" i="24"/>
  <c r="M494" i="14" s="1"/>
  <c r="C494" i="24"/>
  <c r="B494" i="24" a="1"/>
  <c r="D493" i="24"/>
  <c r="M493" i="14" s="1"/>
  <c r="C493" i="24"/>
  <c r="B493" i="24" a="1"/>
  <c r="D492" i="24"/>
  <c r="M492" i="14" s="1"/>
  <c r="C492" i="24"/>
  <c r="B492" i="24" a="1"/>
  <c r="D491" i="24"/>
  <c r="M491" i="14" s="1"/>
  <c r="C491" i="24"/>
  <c r="B491" i="24" a="1"/>
  <c r="D490" i="24"/>
  <c r="M490" i="14" s="1"/>
  <c r="C490" i="24"/>
  <c r="B490" i="24" a="1"/>
  <c r="D489" i="24"/>
  <c r="M489" i="14" s="1"/>
  <c r="C489" i="24"/>
  <c r="B489" i="24" a="1"/>
  <c r="D488" i="24"/>
  <c r="M488" i="14" s="1"/>
  <c r="C488" i="24"/>
  <c r="B488" i="24" a="1"/>
  <c r="D487" i="24"/>
  <c r="M487" i="14" s="1"/>
  <c r="C487" i="24"/>
  <c r="B487" i="24" a="1"/>
  <c r="D486" i="24"/>
  <c r="M486" i="14" s="1"/>
  <c r="C486" i="24"/>
  <c r="B486" i="24" a="1"/>
  <c r="D485" i="24"/>
  <c r="M485" i="14" s="1"/>
  <c r="C485" i="24"/>
  <c r="B485" i="24" a="1"/>
  <c r="D484" i="24"/>
  <c r="M484" i="14" s="1"/>
  <c r="C484" i="24"/>
  <c r="B484" i="24" a="1"/>
  <c r="D483" i="24"/>
  <c r="M483" i="14" s="1"/>
  <c r="C483" i="24"/>
  <c r="B483" i="24" a="1"/>
  <c r="D482" i="24"/>
  <c r="M482" i="14" s="1"/>
  <c r="C482" i="24"/>
  <c r="B482" i="24" a="1"/>
  <c r="D481" i="24"/>
  <c r="M481" i="14" s="1"/>
  <c r="C481" i="24"/>
  <c r="B481" i="24" a="1"/>
  <c r="D480" i="24"/>
  <c r="M480" i="14" s="1"/>
  <c r="C480" i="24"/>
  <c r="B480" i="24" a="1"/>
  <c r="D479" i="24"/>
  <c r="M479" i="14" s="1"/>
  <c r="C479" i="24"/>
  <c r="B479" i="24" a="1"/>
  <c r="D478" i="24"/>
  <c r="M478" i="14" s="1"/>
  <c r="C478" i="24"/>
  <c r="B478" i="24" a="1"/>
  <c r="D477" i="24"/>
  <c r="M477" i="14" s="1"/>
  <c r="C477" i="24"/>
  <c r="B477" i="24" a="1"/>
  <c r="D476" i="24"/>
  <c r="M476" i="14" s="1"/>
  <c r="C476" i="24"/>
  <c r="B476" i="24" a="1"/>
  <c r="D475" i="24"/>
  <c r="M475" i="14" s="1"/>
  <c r="C475" i="24"/>
  <c r="B475" i="24" a="1"/>
  <c r="D474" i="24"/>
  <c r="M474" i="14" s="1"/>
  <c r="C474" i="24"/>
  <c r="B474" i="24" a="1"/>
  <c r="D473" i="24"/>
  <c r="M473" i="14" s="1"/>
  <c r="C473" i="24"/>
  <c r="B473" i="24" a="1"/>
  <c r="D472" i="24"/>
  <c r="M472" i="14" s="1"/>
  <c r="C472" i="24"/>
  <c r="B472" i="24" a="1"/>
  <c r="D471" i="24"/>
  <c r="M471" i="14" s="1"/>
  <c r="C471" i="24"/>
  <c r="B471" i="24" a="1"/>
  <c r="D470" i="24"/>
  <c r="M470" i="14" s="1"/>
  <c r="C470" i="24"/>
  <c r="B470" i="24" a="1"/>
  <c r="D469" i="24"/>
  <c r="M469" i="14" s="1"/>
  <c r="C469" i="24"/>
  <c r="B469" i="24" a="1"/>
  <c r="C468" i="24"/>
  <c r="C467" i="24"/>
  <c r="D466" i="24"/>
  <c r="M466" i="14" s="1"/>
  <c r="B466" i="24" a="1"/>
  <c r="C465" i="24"/>
  <c r="C464" i="24"/>
  <c r="B464" i="24" a="1"/>
  <c r="C463" i="24"/>
  <c r="B463" i="24" a="1"/>
  <c r="D462" i="24"/>
  <c r="M462" i="14" s="1"/>
  <c r="C462" i="24"/>
  <c r="B462" i="24" a="1"/>
  <c r="D461" i="24"/>
  <c r="M461" i="14" s="1"/>
  <c r="B461" i="24" a="1"/>
  <c r="C460" i="24"/>
  <c r="C459" i="24"/>
  <c r="C458" i="24"/>
  <c r="C457" i="24"/>
  <c r="C456" i="24"/>
  <c r="B456" i="24" a="1"/>
  <c r="D455" i="24"/>
  <c r="M455" i="14" s="1"/>
  <c r="B455" i="24" a="1"/>
  <c r="C454" i="24"/>
  <c r="C453" i="24"/>
  <c r="C452" i="24"/>
  <c r="B452" i="24" a="1"/>
  <c r="D451" i="24"/>
  <c r="M451" i="14" s="1"/>
  <c r="B451" i="24" a="1"/>
  <c r="C450" i="24"/>
  <c r="B450" i="24" a="1"/>
  <c r="C449" i="24"/>
  <c r="D447" i="24"/>
  <c r="M447" i="14" s="1"/>
  <c r="D446" i="24"/>
  <c r="M446" i="14" s="1"/>
  <c r="B446" i="24" a="1"/>
  <c r="D445" i="24"/>
  <c r="M445" i="14" s="1"/>
  <c r="B445" i="24" a="1"/>
  <c r="D444" i="24"/>
  <c r="M444" i="14" s="1"/>
  <c r="B444" i="24" a="1"/>
  <c r="D443" i="24"/>
  <c r="M443" i="14" s="1"/>
  <c r="B443" i="24" a="1"/>
  <c r="C442" i="24"/>
  <c r="D441" i="24"/>
  <c r="M441" i="14" s="1"/>
  <c r="C440" i="24"/>
  <c r="C439" i="24"/>
  <c r="D438" i="24"/>
  <c r="M438" i="14" s="1"/>
  <c r="B438" i="24" a="1"/>
  <c r="D437" i="24"/>
  <c r="M437" i="14" s="1"/>
  <c r="B437" i="24" a="1"/>
  <c r="C435" i="24"/>
  <c r="C434" i="24"/>
  <c r="D430" i="24"/>
  <c r="M430" i="14" s="1"/>
  <c r="C429" i="24"/>
  <c r="C428" i="24"/>
  <c r="B427" i="24" a="1"/>
  <c r="C425" i="24"/>
  <c r="D424" i="24"/>
  <c r="M424" i="14" s="1"/>
  <c r="C423" i="24"/>
  <c r="B422" i="24" a="1"/>
  <c r="B421" i="24" a="1"/>
  <c r="D420" i="24"/>
  <c r="M420" i="14" s="1"/>
  <c r="B420" i="24" a="1"/>
  <c r="C419" i="24"/>
  <c r="C418" i="24"/>
  <c r="C415" i="24"/>
  <c r="B414" i="24" a="1"/>
  <c r="C37" i="24"/>
  <c r="B35" i="24" a="1"/>
  <c r="D33" i="24"/>
  <c r="M33" i="14" s="1"/>
  <c r="B31" i="24" a="1"/>
  <c r="B26" i="24" a="1"/>
  <c r="C24" i="24"/>
  <c r="D21" i="24"/>
  <c r="M21" i="14" s="1"/>
  <c r="D17" i="24"/>
  <c r="M17" i="14" s="1"/>
  <c r="C16" i="24"/>
  <c r="C13" i="24"/>
  <c r="D10" i="24"/>
  <c r="M10" i="14" s="1"/>
  <c r="D9" i="24"/>
  <c r="M9" i="14" s="1"/>
  <c r="B7" i="24" a="1"/>
  <c r="B3" i="24" a="1"/>
  <c r="D2" i="24"/>
  <c r="M2" i="14" s="1"/>
  <c r="D115" i="24"/>
  <c r="M115" i="14" s="1"/>
  <c r="B116" i="24" a="1"/>
  <c r="D116" i="24"/>
  <c r="M116" i="14" s="1"/>
  <c r="D119" i="24"/>
  <c r="M119" i="14" s="1"/>
  <c r="C120" i="24"/>
  <c r="C121" i="24"/>
  <c r="C122" i="24"/>
  <c r="C123" i="24"/>
  <c r="C124" i="24"/>
  <c r="D126" i="24"/>
  <c r="M126" i="14" s="1"/>
  <c r="B128" i="24" a="1"/>
  <c r="B129" i="24" a="1"/>
  <c r="C130" i="24"/>
  <c r="D131" i="24"/>
  <c r="M131" i="14" s="1"/>
  <c r="C132" i="24"/>
  <c r="C134" i="24"/>
  <c r="D137" i="24"/>
  <c r="M137" i="14" s="1"/>
  <c r="B138" i="24" a="1"/>
  <c r="D139" i="24"/>
  <c r="M139" i="14" s="1"/>
  <c r="D140" i="24"/>
  <c r="M140" i="14" s="1"/>
  <c r="B142" i="24" a="1"/>
  <c r="C142" i="24"/>
  <c r="D142" i="24"/>
  <c r="M142" i="14" s="1"/>
  <c r="B143" i="24" a="1"/>
  <c r="C143" i="24"/>
  <c r="D143" i="24"/>
  <c r="M143" i="14" s="1"/>
  <c r="B144" i="24" a="1"/>
  <c r="C144" i="24"/>
  <c r="D144" i="24"/>
  <c r="M144" i="14" s="1"/>
  <c r="B145" i="24" a="1"/>
  <c r="C145" i="24"/>
  <c r="D145" i="24"/>
  <c r="M145" i="14" s="1"/>
  <c r="B146" i="24" a="1"/>
  <c r="C146" i="24"/>
  <c r="D146" i="24"/>
  <c r="M146" i="14" s="1"/>
  <c r="B147" i="24" a="1"/>
  <c r="C147" i="24"/>
  <c r="D147" i="24"/>
  <c r="M147" i="14" s="1"/>
  <c r="B148" i="24" a="1"/>
  <c r="C148" i="24"/>
  <c r="D148" i="24"/>
  <c r="M148" i="14" s="1"/>
  <c r="B149" i="24" a="1"/>
  <c r="C149" i="24"/>
  <c r="D149" i="24"/>
  <c r="M149" i="14" s="1"/>
  <c r="B150" i="24" a="1"/>
  <c r="C150" i="24"/>
  <c r="D150" i="24"/>
  <c r="M150" i="14" s="1"/>
  <c r="B151" i="24" a="1"/>
  <c r="C151" i="24"/>
  <c r="D151" i="24"/>
  <c r="M151" i="14" s="1"/>
  <c r="B152" i="24" a="1"/>
  <c r="C152" i="24"/>
  <c r="D152" i="24"/>
  <c r="M152" i="14" s="1"/>
  <c r="B153" i="24" a="1"/>
  <c r="C153" i="24"/>
  <c r="D153" i="24"/>
  <c r="M153" i="14" s="1"/>
  <c r="B154" i="24" a="1"/>
  <c r="C154" i="24"/>
  <c r="D154" i="24"/>
  <c r="M154" i="14" s="1"/>
  <c r="B155" i="24" a="1"/>
  <c r="C155" i="24"/>
  <c r="D155" i="24"/>
  <c r="M155" i="14" s="1"/>
  <c r="B156" i="24" a="1"/>
  <c r="C156" i="24"/>
  <c r="D156" i="24"/>
  <c r="M156" i="14" s="1"/>
  <c r="B157" i="24" a="1"/>
  <c r="C157" i="24"/>
  <c r="D157" i="24"/>
  <c r="M157" i="14" s="1"/>
  <c r="B158" i="24" a="1"/>
  <c r="C158" i="24"/>
  <c r="D158" i="24"/>
  <c r="M158" i="14" s="1"/>
  <c r="B159" i="24" a="1"/>
  <c r="C159" i="24"/>
  <c r="D159" i="24"/>
  <c r="M159" i="14" s="1"/>
  <c r="B160" i="24" a="1"/>
  <c r="C160" i="24"/>
  <c r="D160" i="24"/>
  <c r="M160" i="14" s="1"/>
  <c r="B161" i="24" a="1"/>
  <c r="C161" i="24"/>
  <c r="D161" i="24"/>
  <c r="M161" i="14" s="1"/>
  <c r="B162" i="24" a="1"/>
  <c r="C162" i="24"/>
  <c r="D162" i="24"/>
  <c r="M162" i="14" s="1"/>
  <c r="B163" i="24" a="1"/>
  <c r="C163" i="24"/>
  <c r="D163" i="24"/>
  <c r="M163" i="14" s="1"/>
  <c r="B164" i="24" a="1"/>
  <c r="C164" i="24"/>
  <c r="D164" i="24"/>
  <c r="M164" i="14" s="1"/>
  <c r="B165" i="24" a="1"/>
  <c r="C165" i="24"/>
  <c r="D165" i="24"/>
  <c r="M165" i="14" s="1"/>
  <c r="B166" i="24" a="1"/>
  <c r="C166" i="24"/>
  <c r="D166" i="24"/>
  <c r="M166" i="14" s="1"/>
  <c r="B167" i="24" a="1"/>
  <c r="C167" i="24"/>
  <c r="D167" i="24"/>
  <c r="M167" i="14" s="1"/>
  <c r="B168" i="24" a="1"/>
  <c r="C168" i="24"/>
  <c r="D168" i="24"/>
  <c r="M168" i="14" s="1"/>
  <c r="B169" i="24" a="1"/>
  <c r="C169" i="24"/>
  <c r="D169" i="24"/>
  <c r="M169" i="14" s="1"/>
  <c r="B170" i="24" a="1"/>
  <c r="D413" i="24"/>
  <c r="M413" i="14" s="1"/>
  <c r="C413" i="24"/>
  <c r="B413" i="24" a="1"/>
  <c r="D412" i="24"/>
  <c r="M412" i="14" s="1"/>
  <c r="C412" i="24"/>
  <c r="B412" i="24" a="1"/>
  <c r="D411" i="24"/>
  <c r="M411" i="14" s="1"/>
  <c r="C411" i="24"/>
  <c r="B411" i="24" a="1"/>
  <c r="D410" i="24"/>
  <c r="M410" i="14" s="1"/>
  <c r="C410" i="24"/>
  <c r="B410" i="24" a="1"/>
  <c r="D409" i="24"/>
  <c r="M409" i="14" s="1"/>
  <c r="C409" i="24"/>
  <c r="B409" i="24" a="1"/>
  <c r="D408" i="24"/>
  <c r="M408" i="14" s="1"/>
  <c r="C408" i="24"/>
  <c r="B408" i="24" a="1"/>
  <c r="D407" i="24"/>
  <c r="M407" i="14" s="1"/>
  <c r="C407" i="24"/>
  <c r="B407" i="24" a="1"/>
  <c r="D406" i="24"/>
  <c r="M406" i="14" s="1"/>
  <c r="C406" i="24"/>
  <c r="B406" i="24" a="1"/>
  <c r="D405" i="24"/>
  <c r="M405" i="14" s="1"/>
  <c r="C405" i="24"/>
  <c r="B405" i="24" a="1"/>
  <c r="D404" i="24"/>
  <c r="M404" i="14" s="1"/>
  <c r="C404" i="24"/>
  <c r="B404" i="24" a="1"/>
  <c r="D403" i="24"/>
  <c r="M403" i="14" s="1"/>
  <c r="C403" i="24"/>
  <c r="B403" i="24" a="1"/>
  <c r="D402" i="24"/>
  <c r="M402" i="14" s="1"/>
  <c r="C402" i="24"/>
  <c r="B402" i="24" a="1"/>
  <c r="D401" i="24"/>
  <c r="M401" i="14" s="1"/>
  <c r="C401" i="24"/>
  <c r="B401" i="24" a="1"/>
  <c r="D400" i="24"/>
  <c r="M400" i="14" s="1"/>
  <c r="C400" i="24"/>
  <c r="B400" i="24" a="1"/>
  <c r="D399" i="24"/>
  <c r="M399" i="14" s="1"/>
  <c r="C399" i="24"/>
  <c r="B399" i="24" a="1"/>
  <c r="D398" i="24"/>
  <c r="M398" i="14" s="1"/>
  <c r="C398" i="24"/>
  <c r="B398" i="24" a="1"/>
  <c r="D397" i="24"/>
  <c r="M397" i="14" s="1"/>
  <c r="C397" i="24"/>
  <c r="B397" i="24" a="1"/>
  <c r="D396" i="24"/>
  <c r="M396" i="14" s="1"/>
  <c r="C396" i="24"/>
  <c r="B396" i="24" a="1"/>
  <c r="D395" i="24"/>
  <c r="M395" i="14" s="1"/>
  <c r="C395" i="24"/>
  <c r="B395" i="24" a="1"/>
  <c r="D394" i="24"/>
  <c r="M394" i="14" s="1"/>
  <c r="C394" i="24"/>
  <c r="B394" i="24" a="1"/>
  <c r="D393" i="24"/>
  <c r="M393" i="14" s="1"/>
  <c r="C393" i="24"/>
  <c r="B393" i="24" a="1"/>
  <c r="D392" i="24"/>
  <c r="M392" i="14" s="1"/>
  <c r="C392" i="24"/>
  <c r="B392" i="24" a="1"/>
  <c r="D391" i="24"/>
  <c r="M391" i="14" s="1"/>
  <c r="C391" i="24"/>
  <c r="B391" i="24" a="1"/>
  <c r="D390" i="24"/>
  <c r="M390" i="14" s="1"/>
  <c r="C390" i="24"/>
  <c r="B390" i="24" a="1"/>
  <c r="D389" i="24"/>
  <c r="M389" i="14" s="1"/>
  <c r="C389" i="24"/>
  <c r="B389" i="24" a="1"/>
  <c r="D388" i="24"/>
  <c r="M388" i="14" s="1"/>
  <c r="C388" i="24"/>
  <c r="B388" i="24" a="1"/>
  <c r="D387" i="24"/>
  <c r="M387" i="14" s="1"/>
  <c r="C387" i="24"/>
  <c r="B387" i="24" a="1"/>
  <c r="D386" i="24"/>
  <c r="M386" i="14" s="1"/>
  <c r="C386" i="24"/>
  <c r="B386" i="24" a="1"/>
  <c r="D385" i="24"/>
  <c r="M385" i="14" s="1"/>
  <c r="C385" i="24"/>
  <c r="B385" i="24" a="1"/>
  <c r="D384" i="24"/>
  <c r="M384" i="14" s="1"/>
  <c r="C384" i="24"/>
  <c r="B384" i="24" a="1"/>
  <c r="D383" i="24"/>
  <c r="M383" i="14" s="1"/>
  <c r="C383" i="24"/>
  <c r="B383" i="24" a="1"/>
  <c r="D382" i="24"/>
  <c r="M382" i="14" s="1"/>
  <c r="C382" i="24"/>
  <c r="B382" i="24" a="1"/>
  <c r="D381" i="24"/>
  <c r="M381" i="14" s="1"/>
  <c r="C381" i="24"/>
  <c r="B381" i="24" a="1"/>
  <c r="D380" i="24"/>
  <c r="M380" i="14" s="1"/>
  <c r="C380" i="24"/>
  <c r="B380" i="24" a="1"/>
  <c r="D379" i="24"/>
  <c r="M379" i="14" s="1"/>
  <c r="C379" i="24"/>
  <c r="B379" i="24" a="1"/>
  <c r="D378" i="24"/>
  <c r="M378" i="14" s="1"/>
  <c r="C378" i="24"/>
  <c r="B378" i="24" a="1"/>
  <c r="D377" i="24"/>
  <c r="M377" i="14" s="1"/>
  <c r="C377" i="24"/>
  <c r="B377" i="24" a="1"/>
  <c r="D376" i="24"/>
  <c r="M376" i="14" s="1"/>
  <c r="C376" i="24"/>
  <c r="B376" i="24" a="1"/>
  <c r="D375" i="24"/>
  <c r="M375" i="14" s="1"/>
  <c r="C375" i="24"/>
  <c r="B375" i="24" a="1"/>
  <c r="D374" i="24"/>
  <c r="M374" i="14" s="1"/>
  <c r="C374" i="24"/>
  <c r="B374" i="24" a="1"/>
  <c r="D373" i="24"/>
  <c r="M373" i="14" s="1"/>
  <c r="C373" i="24"/>
  <c r="B373" i="24" a="1"/>
  <c r="D372" i="24"/>
  <c r="M372" i="14" s="1"/>
  <c r="C372" i="24"/>
  <c r="B372" i="24" a="1"/>
  <c r="D371" i="24"/>
  <c r="M371" i="14" s="1"/>
  <c r="C371" i="24"/>
  <c r="B371" i="24" a="1"/>
  <c r="D370" i="24"/>
  <c r="M370" i="14" s="1"/>
  <c r="C370" i="24"/>
  <c r="B370" i="24" a="1"/>
  <c r="D369" i="24"/>
  <c r="M369" i="14" s="1"/>
  <c r="C369" i="24"/>
  <c r="B369" i="24" a="1"/>
  <c r="D368" i="24"/>
  <c r="M368" i="14" s="1"/>
  <c r="C368" i="24"/>
  <c r="B368" i="24" a="1"/>
  <c r="D367" i="24"/>
  <c r="M367" i="14" s="1"/>
  <c r="C367" i="24"/>
  <c r="B367" i="24" a="1"/>
  <c r="D366" i="24"/>
  <c r="M366" i="14" s="1"/>
  <c r="C366" i="24"/>
  <c r="B366" i="24" a="1"/>
  <c r="D365" i="24"/>
  <c r="M365" i="14" s="1"/>
  <c r="C365" i="24"/>
  <c r="B365" i="24" a="1"/>
  <c r="D364" i="24"/>
  <c r="M364" i="14" s="1"/>
  <c r="C364" i="24"/>
  <c r="B364" i="24" a="1"/>
  <c r="D363" i="24"/>
  <c r="M363" i="14" s="1"/>
  <c r="C363" i="24"/>
  <c r="B363" i="24" a="1"/>
  <c r="D362" i="24"/>
  <c r="M362" i="14" s="1"/>
  <c r="C362" i="24"/>
  <c r="B362" i="24" a="1"/>
  <c r="D361" i="24"/>
  <c r="M361" i="14" s="1"/>
  <c r="C361" i="24"/>
  <c r="B361" i="24" a="1"/>
  <c r="D360" i="24"/>
  <c r="M360" i="14" s="1"/>
  <c r="C360" i="24"/>
  <c r="B360" i="24" a="1"/>
  <c r="D359" i="24"/>
  <c r="M359" i="14" s="1"/>
  <c r="C359" i="24"/>
  <c r="B359" i="24" a="1"/>
  <c r="D358" i="24"/>
  <c r="M358" i="14" s="1"/>
  <c r="C358" i="24"/>
  <c r="B358" i="24" a="1"/>
  <c r="D357" i="24"/>
  <c r="M357" i="14" s="1"/>
  <c r="C357" i="24"/>
  <c r="B357" i="24" a="1"/>
  <c r="D356" i="24"/>
  <c r="M356" i="14" s="1"/>
  <c r="C356" i="24"/>
  <c r="B356" i="24" a="1"/>
  <c r="D355" i="24"/>
  <c r="M355" i="14" s="1"/>
  <c r="C355" i="24"/>
  <c r="B355" i="24" a="1"/>
  <c r="D354" i="24"/>
  <c r="M354" i="14" s="1"/>
  <c r="C354" i="24"/>
  <c r="B354" i="24" a="1"/>
  <c r="D353" i="24"/>
  <c r="M353" i="14" s="1"/>
  <c r="C353" i="24"/>
  <c r="B353" i="24" a="1"/>
  <c r="D352" i="24"/>
  <c r="M352" i="14" s="1"/>
  <c r="C352" i="24"/>
  <c r="B352" i="24" a="1"/>
  <c r="D351" i="24"/>
  <c r="M351" i="14" s="1"/>
  <c r="C351" i="24"/>
  <c r="B351" i="24" a="1"/>
  <c r="D350" i="24"/>
  <c r="M350" i="14" s="1"/>
  <c r="C350" i="24"/>
  <c r="B350" i="24" a="1"/>
  <c r="D349" i="24"/>
  <c r="M349" i="14" s="1"/>
  <c r="C349" i="24"/>
  <c r="B349" i="24" a="1"/>
  <c r="D348" i="24"/>
  <c r="M348" i="14" s="1"/>
  <c r="C348" i="24"/>
  <c r="B348" i="24" a="1"/>
  <c r="D347" i="24"/>
  <c r="M347" i="14" s="1"/>
  <c r="C347" i="24"/>
  <c r="B347" i="24" a="1"/>
  <c r="D346" i="24"/>
  <c r="M346" i="14" s="1"/>
  <c r="C346" i="24"/>
  <c r="B346" i="24" a="1"/>
  <c r="D345" i="24"/>
  <c r="M345" i="14" s="1"/>
  <c r="C345" i="24"/>
  <c r="B345" i="24" a="1"/>
  <c r="D344" i="24"/>
  <c r="M344" i="14" s="1"/>
  <c r="C344" i="24"/>
  <c r="B344" i="24" a="1"/>
  <c r="D343" i="24"/>
  <c r="M343" i="14" s="1"/>
  <c r="C343" i="24"/>
  <c r="B343" i="24" a="1"/>
  <c r="D342" i="24"/>
  <c r="M342" i="14" s="1"/>
  <c r="C342" i="24"/>
  <c r="B342" i="24" a="1"/>
  <c r="D341" i="24"/>
  <c r="M341" i="14" s="1"/>
  <c r="C341" i="24"/>
  <c r="B341" i="24" a="1"/>
  <c r="D340" i="24"/>
  <c r="M340" i="14" s="1"/>
  <c r="C340" i="24"/>
  <c r="B340" i="24" a="1"/>
  <c r="D339" i="24"/>
  <c r="M339" i="14" s="1"/>
  <c r="C339" i="24"/>
  <c r="B339" i="24" a="1"/>
  <c r="D338" i="24"/>
  <c r="M338" i="14" s="1"/>
  <c r="C338" i="24"/>
  <c r="B338" i="24" a="1"/>
  <c r="D337" i="24"/>
  <c r="M337" i="14" s="1"/>
  <c r="C337" i="24"/>
  <c r="B337" i="24" a="1"/>
  <c r="D336" i="24"/>
  <c r="M336" i="14" s="1"/>
  <c r="C336" i="24"/>
  <c r="B336" i="24" a="1"/>
  <c r="D335" i="24"/>
  <c r="M335" i="14" s="1"/>
  <c r="C335" i="24"/>
  <c r="B335" i="24" a="1"/>
  <c r="D334" i="24"/>
  <c r="M334" i="14" s="1"/>
  <c r="C334" i="24"/>
  <c r="B334" i="24" a="1"/>
  <c r="D333" i="24"/>
  <c r="M333" i="14" s="1"/>
  <c r="C333" i="24"/>
  <c r="B333" i="24" a="1"/>
  <c r="D332" i="24"/>
  <c r="M332" i="14" s="1"/>
  <c r="C332" i="24"/>
  <c r="B332" i="24" a="1"/>
  <c r="D331" i="24"/>
  <c r="M331" i="14" s="1"/>
  <c r="C331" i="24"/>
  <c r="B331" i="24" a="1"/>
  <c r="D330" i="24"/>
  <c r="M330" i="14" s="1"/>
  <c r="C330" i="24"/>
  <c r="B330" i="24" a="1"/>
  <c r="D329" i="24"/>
  <c r="M329" i="14" s="1"/>
  <c r="C329" i="24"/>
  <c r="B329" i="24" a="1"/>
  <c r="D328" i="24"/>
  <c r="M328" i="14" s="1"/>
  <c r="C328" i="24"/>
  <c r="B328" i="24" a="1"/>
  <c r="D327" i="24"/>
  <c r="M327" i="14" s="1"/>
  <c r="C327" i="24"/>
  <c r="B327" i="24" a="1"/>
  <c r="D326" i="24"/>
  <c r="M326" i="14" s="1"/>
  <c r="C326" i="24"/>
  <c r="B326" i="24" a="1"/>
  <c r="D325" i="24"/>
  <c r="M325" i="14" s="1"/>
  <c r="C325" i="24"/>
  <c r="B325" i="24" a="1"/>
  <c r="D324" i="24"/>
  <c r="M324" i="14" s="1"/>
  <c r="C324" i="24"/>
  <c r="B324" i="24" a="1"/>
  <c r="D323" i="24"/>
  <c r="M323" i="14" s="1"/>
  <c r="C323" i="24"/>
  <c r="B323" i="24" a="1"/>
  <c r="D322" i="24"/>
  <c r="M322" i="14" s="1"/>
  <c r="C322" i="24"/>
  <c r="B322" i="24" a="1"/>
  <c r="D321" i="24"/>
  <c r="M321" i="14" s="1"/>
  <c r="C321" i="24"/>
  <c r="B321" i="24" a="1"/>
  <c r="D320" i="24"/>
  <c r="M320" i="14" s="1"/>
  <c r="C320" i="24"/>
  <c r="B320" i="24" a="1"/>
  <c r="D319" i="24"/>
  <c r="M319" i="14" s="1"/>
  <c r="C319" i="24"/>
  <c r="B319" i="24" a="1"/>
  <c r="D318" i="24"/>
  <c r="M318" i="14" s="1"/>
  <c r="C318" i="24"/>
  <c r="B318" i="24" a="1"/>
  <c r="D317" i="24"/>
  <c r="M317" i="14" s="1"/>
  <c r="C317" i="24"/>
  <c r="B317" i="24" a="1"/>
  <c r="D316" i="24"/>
  <c r="M316" i="14" s="1"/>
  <c r="C316" i="24"/>
  <c r="B316" i="24" a="1"/>
  <c r="D315" i="24"/>
  <c r="M315" i="14" s="1"/>
  <c r="C315" i="24"/>
  <c r="B315" i="24" a="1"/>
  <c r="D314" i="24"/>
  <c r="M314" i="14" s="1"/>
  <c r="C314" i="24"/>
  <c r="B314" i="24" a="1"/>
  <c r="D313" i="24"/>
  <c r="M313" i="14" s="1"/>
  <c r="C313" i="24"/>
  <c r="B313" i="24" a="1"/>
  <c r="D312" i="24"/>
  <c r="M312" i="14" s="1"/>
  <c r="C312" i="24"/>
  <c r="B312" i="24" a="1"/>
  <c r="D311" i="24"/>
  <c r="M311" i="14" s="1"/>
  <c r="C311" i="24"/>
  <c r="B311" i="24" a="1"/>
  <c r="C216" i="24"/>
  <c r="C215" i="24"/>
  <c r="B215" i="24" a="1"/>
  <c r="D214" i="24"/>
  <c r="M214" i="14" s="1"/>
  <c r="B214" i="24" a="1"/>
  <c r="B213" i="24" a="1"/>
  <c r="D212" i="24"/>
  <c r="M212" i="14" s="1"/>
  <c r="C212" i="24"/>
  <c r="B212" i="24" a="1"/>
  <c r="C211" i="24"/>
  <c r="D209" i="24"/>
  <c r="M209" i="14" s="1"/>
  <c r="C209" i="24"/>
  <c r="C208" i="24"/>
  <c r="B208" i="24" a="1"/>
  <c r="D141" i="24"/>
  <c r="M141" i="14" s="1"/>
  <c r="B141" i="24" a="1"/>
  <c r="C140" i="24"/>
  <c r="B139" i="24" a="1"/>
  <c r="D138" i="24"/>
  <c r="M138" i="14" s="1"/>
  <c r="B137" i="24" a="1"/>
  <c r="C136" i="24"/>
  <c r="B135" i="24" a="1"/>
  <c r="D134" i="24"/>
  <c r="M134" i="14" s="1"/>
  <c r="B134" i="24" a="1"/>
  <c r="D133" i="24"/>
  <c r="M133" i="14" s="1"/>
  <c r="B133" i="24" a="1"/>
  <c r="D132" i="24"/>
  <c r="M132" i="14" s="1"/>
  <c r="C131" i="24"/>
  <c r="D130" i="24"/>
  <c r="M130" i="14" s="1"/>
  <c r="C129" i="24"/>
  <c r="C128" i="24"/>
  <c r="D127" i="24"/>
  <c r="M127" i="14" s="1"/>
  <c r="B127" i="24" a="1"/>
  <c r="B126" i="24" a="1"/>
  <c r="D125" i="24"/>
  <c r="M125" i="14" s="1"/>
  <c r="B125" i="24" a="1"/>
  <c r="D124" i="24"/>
  <c r="M124" i="14" s="1"/>
  <c r="B124" i="24" a="1"/>
  <c r="D123" i="24"/>
  <c r="M123" i="14" s="1"/>
  <c r="B123" i="24" a="1"/>
  <c r="D122" i="24"/>
  <c r="M122" i="14" s="1"/>
  <c r="B122" i="24" a="1"/>
  <c r="D121" i="24"/>
  <c r="M121" i="14" s="1"/>
  <c r="B120" i="24" a="1"/>
  <c r="C119" i="24"/>
  <c r="D118" i="24"/>
  <c r="M118" i="14" s="1"/>
  <c r="B118" i="24" a="1"/>
  <c r="C117" i="24"/>
  <c r="C116" i="24"/>
  <c r="C115" i="24"/>
  <c r="C114" i="24"/>
  <c r="C113" i="24"/>
  <c r="D112" i="24"/>
  <c r="M112" i="14" s="1"/>
  <c r="D111" i="24"/>
  <c r="M111" i="14" s="1"/>
  <c r="D110" i="24"/>
  <c r="M110" i="14" s="1"/>
  <c r="B110" i="24" a="1"/>
  <c r="D109" i="24"/>
  <c r="M109" i="14" s="1"/>
  <c r="D108" i="24"/>
  <c r="M108" i="14" s="1"/>
  <c r="B107" i="24" a="1"/>
  <c r="D106" i="24"/>
  <c r="M106" i="14" s="1"/>
  <c r="B106" i="24" a="1"/>
  <c r="C105" i="24"/>
  <c r="C104" i="24"/>
  <c r="C51" i="24"/>
  <c r="C50" i="24"/>
  <c r="C49" i="24"/>
  <c r="C48" i="24"/>
  <c r="D47" i="24"/>
  <c r="M47" i="14" s="1"/>
  <c r="D46" i="24"/>
  <c r="M46" i="14" s="1"/>
  <c r="B46" i="24" a="1"/>
  <c r="C45" i="24"/>
  <c r="D44" i="24"/>
  <c r="M44" i="14" s="1"/>
  <c r="C43" i="24"/>
  <c r="C42" i="24"/>
  <c r="D39" i="24"/>
  <c r="M39" i="14" s="1"/>
  <c r="C38" i="24"/>
  <c r="B37" i="24" a="1"/>
  <c r="D31" i="24"/>
  <c r="M31" i="14" s="1"/>
  <c r="B24" i="24" a="1"/>
  <c r="B20" i="24" a="1"/>
  <c r="D15" i="24"/>
  <c r="M15" i="14" s="1"/>
  <c r="B15" i="24" a="1"/>
  <c r="B14" i="24" a="1"/>
  <c r="B13" i="24" a="1"/>
  <c r="B12" i="24" a="1"/>
  <c r="C11" i="24"/>
  <c r="B9" i="24" a="1"/>
  <c r="B8" i="24" a="1"/>
  <c r="D5" i="24"/>
  <c r="M5" i="14" s="1"/>
  <c r="C170" i="24"/>
  <c r="D170" i="24"/>
  <c r="M170" i="14" s="1"/>
  <c r="B171" i="24" a="1"/>
  <c r="C171" i="24"/>
  <c r="D171" i="24"/>
  <c r="M171" i="14" s="1"/>
  <c r="B172" i="24" a="1"/>
  <c r="C172" i="24"/>
  <c r="D172" i="24"/>
  <c r="M172" i="14" s="1"/>
  <c r="B173" i="24" a="1"/>
  <c r="C173" i="24"/>
  <c r="D173" i="24"/>
  <c r="M173" i="14" s="1"/>
  <c r="B174" i="24" a="1"/>
  <c r="C174" i="24"/>
  <c r="D174" i="24"/>
  <c r="M174" i="14" s="1"/>
  <c r="B175" i="24" a="1"/>
  <c r="C175" i="24"/>
  <c r="D175" i="24"/>
  <c r="M175" i="14" s="1"/>
  <c r="B176" i="24" a="1"/>
  <c r="C176" i="24"/>
  <c r="D176" i="24"/>
  <c r="M176" i="14" s="1"/>
  <c r="B177" i="24" a="1"/>
  <c r="C177" i="24"/>
  <c r="D177" i="24"/>
  <c r="M177" i="14" s="1"/>
  <c r="B178" i="24" a="1"/>
  <c r="C178" i="24"/>
  <c r="D178" i="24"/>
  <c r="M178" i="14" s="1"/>
  <c r="B179" i="24" a="1"/>
  <c r="C179" i="24"/>
  <c r="D179" i="24"/>
  <c r="M179" i="14" s="1"/>
  <c r="B180" i="24" a="1"/>
  <c r="C180" i="24"/>
  <c r="D180" i="24"/>
  <c r="M180" i="14" s="1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G992" i="19"/>
  <c r="C992" i="24"/>
  <c r="C991" i="24"/>
  <c r="G991" i="19"/>
  <c r="G990" i="19"/>
  <c r="C990" i="24"/>
  <c r="C989" i="24"/>
  <c r="G989" i="19"/>
  <c r="G988" i="19"/>
  <c r="C988" i="24"/>
  <c r="C987" i="24"/>
  <c r="G987" i="19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G945" i="19"/>
  <c r="H945" i="14"/>
  <c r="C944" i="24"/>
  <c r="H944" i="14"/>
  <c r="G944" i="19"/>
  <c r="G943" i="19"/>
  <c r="H943" i="14"/>
  <c r="C943" i="24"/>
  <c r="G942" i="19"/>
  <c r="H942" i="14"/>
  <c r="C942" i="24"/>
  <c r="H941" i="14"/>
  <c r="C941" i="24"/>
  <c r="G941" i="19"/>
  <c r="G940" i="19"/>
  <c r="H940" i="14"/>
  <c r="C940" i="24"/>
  <c r="C939" i="24"/>
  <c r="H939" i="14"/>
  <c r="G939" i="19"/>
  <c r="G938" i="19"/>
  <c r="H938" i="14"/>
  <c r="C938" i="24"/>
  <c r="C937" i="24"/>
  <c r="H937" i="14"/>
  <c r="G937" i="19"/>
  <c r="C936" i="24"/>
  <c r="G936" i="19"/>
  <c r="H936" i="14"/>
  <c r="G920" i="19"/>
  <c r="G919" i="19"/>
  <c r="G918" i="19"/>
  <c r="G917" i="19"/>
  <c r="H916" i="14"/>
  <c r="G916" i="19"/>
  <c r="G915" i="19"/>
  <c r="H915" i="14"/>
  <c r="G914" i="19"/>
  <c r="H914" i="14"/>
  <c r="H913" i="14"/>
  <c r="G913" i="19"/>
  <c r="G912" i="19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G653" i="19"/>
  <c r="G652" i="19"/>
  <c r="G651" i="19"/>
  <c r="G650" i="19"/>
  <c r="G649" i="19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" i="19"/>
  <c r="H1045" i="24" l="1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AI1028" i="17" a="1"/>
  <c r="E1028" i="24" s="1"/>
  <c r="C1026" i="14" a="1"/>
  <c r="AI1026" i="17" a="1"/>
  <c r="E1026" i="24" s="1"/>
  <c r="H1043" i="24"/>
  <c r="J1043" i="24"/>
  <c r="K1043" i="24"/>
  <c r="L1043" i="24"/>
  <c r="N1043" i="24"/>
  <c r="O1043" i="24"/>
  <c r="G1043" i="24"/>
  <c r="I1043" i="24"/>
  <c r="M1043" i="24"/>
  <c r="AF1028" i="17"/>
  <c r="AH1028" i="17" s="1"/>
  <c r="AG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M1040" i="14"/>
  <c r="AI1027" i="17" a="1"/>
  <c r="E1027" i="24" s="1"/>
  <c r="C1027" i="14" a="1"/>
  <c r="AF1027" i="17"/>
  <c r="AH1027" i="17" s="1"/>
  <c r="AG1027" i="17"/>
  <c r="M1035" i="14"/>
  <c r="M1042" i="14"/>
  <c r="AG1025" i="17"/>
  <c r="AF1025" i="17"/>
  <c r="AH1025" i="17" s="1"/>
  <c r="C1025" i="14" a="1"/>
  <c r="AI1025" i="17" a="1"/>
  <c r="E1025" i="24" s="1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I1011" i="17" a="1"/>
  <c r="E1011" i="24" s="1"/>
  <c r="AI1002" i="17" a="1"/>
  <c r="E1002" i="24" s="1"/>
  <c r="AI1004" i="17" a="1"/>
  <c r="E1004" i="24" s="1"/>
  <c r="AI1005" i="17" a="1"/>
  <c r="E1005" i="24" s="1"/>
  <c r="AI1003" i="17" a="1"/>
  <c r="E1003" i="24" s="1"/>
  <c r="AF994" i="17"/>
  <c r="AH994" i="17" s="1"/>
  <c r="AG994" i="17"/>
  <c r="C995" i="14" a="1"/>
  <c r="AF995" i="17"/>
  <c r="AH995" i="17" s="1"/>
  <c r="AG995" i="17"/>
  <c r="AF1002" i="17"/>
  <c r="AH1002" i="17" s="1"/>
  <c r="AG1002" i="17"/>
  <c r="AF1004" i="17"/>
  <c r="AH1004" i="17" s="1"/>
  <c r="AG1004" i="17"/>
  <c r="C1005" i="14" a="1"/>
  <c r="AF1005" i="17"/>
  <c r="AH1005" i="17" s="1"/>
  <c r="AG1005" i="17"/>
  <c r="AG1011" i="17"/>
  <c r="AF1011" i="17"/>
  <c r="AH1011" i="17" s="1"/>
  <c r="C1006" i="14" a="1"/>
  <c r="AF1006" i="17"/>
  <c r="AH1006" i="17" s="1"/>
  <c r="AG1006" i="17"/>
  <c r="AG1017" i="17"/>
  <c r="AF1017" i="17"/>
  <c r="AH1017" i="17" s="1"/>
  <c r="C1003" i="14" a="1"/>
  <c r="AG1003" i="17"/>
  <c r="AF1003" i="17"/>
  <c r="AH1003" i="17" s="1"/>
  <c r="AF1001" i="17"/>
  <c r="AH1001" i="17" s="1"/>
  <c r="C1001" i="14" a="1"/>
  <c r="AG1001" i="17"/>
  <c r="AG998" i="17"/>
  <c r="AF998" i="17"/>
  <c r="AH998" i="17" s="1"/>
  <c r="AG997" i="17"/>
  <c r="AF997" i="17"/>
  <c r="AH997" i="17" s="1"/>
  <c r="AG1013" i="17"/>
  <c r="AF1013" i="17"/>
  <c r="AH1013" i="17" s="1"/>
  <c r="AG1014" i="17"/>
  <c r="AF1014" i="17"/>
  <c r="AH1014" i="17" s="1"/>
  <c r="AG1015" i="17"/>
  <c r="AF1015" i="17"/>
  <c r="AH1015" i="17" s="1"/>
  <c r="AG996" i="17"/>
  <c r="AF996" i="17"/>
  <c r="AH996" i="17" s="1"/>
  <c r="AF945" i="17"/>
  <c r="AH945" i="17" s="1"/>
  <c r="AG945" i="17"/>
  <c r="AG944" i="17"/>
  <c r="AF944" i="17"/>
  <c r="AH944" i="17" s="1"/>
  <c r="AG943" i="17"/>
  <c r="AF943" i="17"/>
  <c r="AH943" i="17" s="1"/>
  <c r="AG942" i="17"/>
  <c r="AF942" i="17"/>
  <c r="AH942" i="17" s="1"/>
  <c r="AG941" i="17"/>
  <c r="AF941" i="17"/>
  <c r="AH941" i="17" s="1"/>
  <c r="AG940" i="17"/>
  <c r="AF940" i="17"/>
  <c r="AH940" i="17" s="1"/>
  <c r="AG939" i="17"/>
  <c r="AF939" i="17"/>
  <c r="AH939" i="17" s="1"/>
  <c r="AF938" i="17"/>
  <c r="AH938" i="17" s="1"/>
  <c r="AG938" i="17"/>
  <c r="AF937" i="17"/>
  <c r="AH937" i="17" s="1"/>
  <c r="AG937" i="17"/>
  <c r="AG936" i="17"/>
  <c r="AF936" i="17"/>
  <c r="AH936" i="17" s="1"/>
  <c r="AF989" i="17"/>
  <c r="AH989" i="17" s="1"/>
  <c r="AG989" i="17"/>
  <c r="AG988" i="17"/>
  <c r="AF988" i="17"/>
  <c r="AH988" i="17" s="1"/>
  <c r="AG987" i="17"/>
  <c r="AF987" i="17"/>
  <c r="AH987" i="17" s="1"/>
  <c r="AG986" i="17"/>
  <c r="AF986" i="17"/>
  <c r="AH986" i="17" s="1"/>
  <c r="AG985" i="17"/>
  <c r="AF985" i="17"/>
  <c r="AH985" i="17" s="1"/>
  <c r="AG984" i="17"/>
  <c r="AF984" i="17"/>
  <c r="AH984" i="17" s="1"/>
  <c r="AG983" i="17"/>
  <c r="AF983" i="17"/>
  <c r="AH983" i="17" s="1"/>
  <c r="AF982" i="17"/>
  <c r="AH982" i="17" s="1"/>
  <c r="AG982" i="17"/>
  <c r="AF981" i="17"/>
  <c r="AH981" i="17" s="1"/>
  <c r="AG981" i="17"/>
  <c r="AG980" i="17"/>
  <c r="AF980" i="17"/>
  <c r="AH980" i="17" s="1"/>
  <c r="AG979" i="17"/>
  <c r="AF979" i="17"/>
  <c r="AH979" i="17" s="1"/>
  <c r="AG978" i="17"/>
  <c r="AF978" i="17"/>
  <c r="AH978" i="17" s="1"/>
  <c r="AG972" i="17"/>
  <c r="AF972" i="17"/>
  <c r="AH972" i="17" s="1"/>
  <c r="AF971" i="17"/>
  <c r="AH971" i="17" s="1"/>
  <c r="AG971" i="17"/>
  <c r="AF970" i="17"/>
  <c r="AH970" i="17" s="1"/>
  <c r="AG970" i="17"/>
  <c r="AG969" i="17"/>
  <c r="AF969" i="17"/>
  <c r="AH969" i="17" s="1"/>
  <c r="AG968" i="17"/>
  <c r="AF968" i="17"/>
  <c r="AH968" i="17" s="1"/>
  <c r="AF916" i="17"/>
  <c r="AH916" i="17" s="1"/>
  <c r="AG916" i="17"/>
  <c r="AG915" i="17"/>
  <c r="AF915" i="17"/>
  <c r="AH915" i="17" s="1"/>
  <c r="AG914" i="17"/>
  <c r="AF914" i="17"/>
  <c r="AH914" i="17" s="1"/>
  <c r="AF913" i="17"/>
  <c r="AH913" i="17" s="1"/>
  <c r="AG913" i="17"/>
  <c r="AF912" i="17"/>
  <c r="AH912" i="17" s="1"/>
  <c r="AG912" i="17"/>
  <c r="AF911" i="17"/>
  <c r="AH911" i="17" s="1"/>
  <c r="AG911" i="17"/>
  <c r="AF999" i="17"/>
  <c r="AH999" i="17" s="1"/>
  <c r="AG999" i="17"/>
  <c r="AF1000" i="17"/>
  <c r="AH1000" i="17" s="1"/>
  <c r="AG1000" i="17"/>
  <c r="AG919" i="17"/>
  <c r="AF919" i="17"/>
  <c r="AH919" i="17" s="1"/>
  <c r="AG918" i="17"/>
  <c r="AF918" i="17"/>
  <c r="AH918" i="17" s="1"/>
  <c r="AG917" i="17"/>
  <c r="AF917" i="17"/>
  <c r="AH917" i="17" s="1"/>
  <c r="AF990" i="17"/>
  <c r="AH990" i="17" s="1"/>
  <c r="AG990" i="17"/>
  <c r="AF993" i="17"/>
  <c r="AH993" i="17" s="1"/>
  <c r="AG993" i="17"/>
  <c r="AG992" i="17"/>
  <c r="AF992" i="17"/>
  <c r="AH992" i="17" s="1"/>
  <c r="AG991" i="17"/>
  <c r="AF991" i="17"/>
  <c r="AH991" i="17" s="1"/>
  <c r="AF967" i="17"/>
  <c r="AH967" i="17" s="1"/>
  <c r="AG967" i="17"/>
  <c r="AG973" i="17"/>
  <c r="AF973" i="17"/>
  <c r="AH973" i="17" s="1"/>
  <c r="AG39" i="17"/>
  <c r="AF39" i="17"/>
  <c r="AH39" i="17" s="1"/>
  <c r="AG38" i="17"/>
  <c r="AF38" i="17"/>
  <c r="AH38" i="17" s="1"/>
  <c r="AF37" i="17"/>
  <c r="AH37" i="17" s="1"/>
  <c r="AG37" i="17"/>
  <c r="AF36" i="17"/>
  <c r="AH36" i="17" s="1"/>
  <c r="AG36" i="17"/>
  <c r="AF35" i="17"/>
  <c r="AH35" i="17" s="1"/>
  <c r="AG35" i="17"/>
  <c r="AF34" i="17"/>
  <c r="AH34" i="17" s="1"/>
  <c r="AG34" i="17"/>
  <c r="AF33" i="17"/>
  <c r="AH33" i="17" s="1"/>
  <c r="AG33" i="17"/>
  <c r="AG32" i="17"/>
  <c r="AF32" i="17"/>
  <c r="AH32" i="17" s="1"/>
  <c r="AG31" i="17"/>
  <c r="AF31" i="17"/>
  <c r="AH31" i="17" s="1"/>
  <c r="AG30" i="17"/>
  <c r="AF30" i="17"/>
  <c r="AH30" i="17" s="1"/>
  <c r="AG29" i="17"/>
  <c r="AF29" i="17"/>
  <c r="AH29" i="17" s="1"/>
  <c r="AF28" i="17"/>
  <c r="AH28" i="17" s="1"/>
  <c r="AG28" i="17"/>
  <c r="AG27" i="17"/>
  <c r="AF27" i="17"/>
  <c r="AH27" i="17" s="1"/>
  <c r="AF26" i="17"/>
  <c r="AH26" i="17" s="1"/>
  <c r="AG26" i="17"/>
  <c r="AG25" i="17"/>
  <c r="AF25" i="17"/>
  <c r="AH25" i="17" s="1"/>
  <c r="AF977" i="17"/>
  <c r="AH977" i="17" s="1"/>
  <c r="AG977" i="17"/>
  <c r="AG887" i="17"/>
  <c r="AF887" i="17"/>
  <c r="AH887" i="17" s="1"/>
  <c r="AG24" i="17"/>
  <c r="AF24" i="17"/>
  <c r="AH24" i="17" s="1"/>
  <c r="AG23" i="17"/>
  <c r="AF23" i="17"/>
  <c r="AH23" i="17" s="1"/>
  <c r="AG22" i="17"/>
  <c r="AF22" i="17"/>
  <c r="AH22" i="17" s="1"/>
  <c r="AG21" i="17"/>
  <c r="AF21" i="17"/>
  <c r="AH21" i="17" s="1"/>
  <c r="AG20" i="17"/>
  <c r="AF20" i="17"/>
  <c r="AH20" i="17" s="1"/>
  <c r="AG976" i="17"/>
  <c r="AF976" i="17"/>
  <c r="AH976" i="17" s="1"/>
  <c r="AG975" i="17"/>
  <c r="AF975" i="17"/>
  <c r="AH975" i="17" s="1"/>
  <c r="AF974" i="17"/>
  <c r="AH974" i="17" s="1"/>
  <c r="AG974" i="17"/>
  <c r="AF870" i="17"/>
  <c r="AH870" i="17" s="1"/>
  <c r="AG870" i="17"/>
  <c r="AF869" i="17"/>
  <c r="AH869" i="17" s="1"/>
  <c r="AG869" i="17"/>
  <c r="AF868" i="17"/>
  <c r="AH868" i="17" s="1"/>
  <c r="AG868" i="17"/>
  <c r="AF867" i="17"/>
  <c r="AH867" i="17" s="1"/>
  <c r="AG867" i="17"/>
  <c r="AG866" i="17"/>
  <c r="AF866" i="17"/>
  <c r="AH866" i="17" s="1"/>
  <c r="AF865" i="17"/>
  <c r="AH865" i="17" s="1"/>
  <c r="AG865" i="17"/>
  <c r="AF792" i="17"/>
  <c r="AH792" i="17" s="1"/>
  <c r="AG792" i="17"/>
  <c r="AF791" i="17"/>
  <c r="AH791" i="17" s="1"/>
  <c r="AG791" i="17"/>
  <c r="AF790" i="17"/>
  <c r="AH790" i="17" s="1"/>
  <c r="AG790" i="17"/>
  <c r="AF789" i="17"/>
  <c r="AH789" i="17" s="1"/>
  <c r="AG789" i="17"/>
  <c r="AG788" i="17"/>
  <c r="AF788" i="17"/>
  <c r="AH788" i="17" s="1"/>
  <c r="AF787" i="17"/>
  <c r="AH787" i="17" s="1"/>
  <c r="AG787" i="17"/>
  <c r="AF557" i="17"/>
  <c r="AH557" i="17" s="1"/>
  <c r="AG557" i="17"/>
  <c r="AF556" i="17"/>
  <c r="AH556" i="17" s="1"/>
  <c r="AG556" i="17"/>
  <c r="AF487" i="17"/>
  <c r="AH487" i="17" s="1"/>
  <c r="AG487" i="17"/>
  <c r="AG486" i="17"/>
  <c r="AF486" i="17"/>
  <c r="AH486" i="17" s="1"/>
  <c r="AG485" i="17"/>
  <c r="AF485" i="17"/>
  <c r="AH485" i="17" s="1"/>
  <c r="AF484" i="17"/>
  <c r="AH484" i="17" s="1"/>
  <c r="AG484" i="17"/>
  <c r="AF483" i="17"/>
  <c r="AH483" i="17" s="1"/>
  <c r="AG483" i="17"/>
  <c r="AF482" i="17"/>
  <c r="AH482" i="17" s="1"/>
  <c r="AG482" i="17"/>
  <c r="AG481" i="17"/>
  <c r="AF481" i="17"/>
  <c r="AH481" i="17" s="1"/>
  <c r="AG480" i="17"/>
  <c r="AF480" i="17"/>
  <c r="AH480" i="17" s="1"/>
  <c r="AF19" i="17"/>
  <c r="AH19" i="17" s="1"/>
  <c r="AG19" i="17"/>
  <c r="AG18" i="17"/>
  <c r="AF18" i="17"/>
  <c r="AH18" i="17" s="1"/>
  <c r="AF966" i="17"/>
  <c r="AH966" i="17" s="1"/>
  <c r="AG966" i="17"/>
  <c r="AF786" i="17"/>
  <c r="AH786" i="17" s="1"/>
  <c r="AG786" i="17"/>
  <c r="AF785" i="17"/>
  <c r="AH785" i="17" s="1"/>
  <c r="AG785" i="17"/>
  <c r="AF555" i="17"/>
  <c r="AH555" i="17" s="1"/>
  <c r="AG555" i="17"/>
  <c r="AF554" i="17"/>
  <c r="AH554" i="17" s="1"/>
  <c r="AG554" i="17"/>
  <c r="AF713" i="17"/>
  <c r="AH713" i="17" s="1"/>
  <c r="AG713" i="17"/>
  <c r="AG712" i="17"/>
  <c r="AF712" i="17"/>
  <c r="AH712" i="17" s="1"/>
  <c r="AF13" i="17"/>
  <c r="AH13" i="17" s="1"/>
  <c r="AG13" i="17"/>
  <c r="AG946" i="17"/>
  <c r="AF946" i="17"/>
  <c r="AH946" i="17" s="1"/>
  <c r="AG910" i="17"/>
  <c r="AF910" i="17"/>
  <c r="AH910" i="17" s="1"/>
  <c r="AG909" i="17"/>
  <c r="AF909" i="17"/>
  <c r="AH909" i="17" s="1"/>
  <c r="AF908" i="17"/>
  <c r="AH908" i="17" s="1"/>
  <c r="AG908" i="17"/>
  <c r="AG907" i="17"/>
  <c r="AF907" i="17"/>
  <c r="AH907" i="17" s="1"/>
  <c r="AF906" i="17"/>
  <c r="AH906" i="17" s="1"/>
  <c r="AG906" i="17"/>
  <c r="AG905" i="17"/>
  <c r="AF905" i="17"/>
  <c r="AH905" i="17" s="1"/>
  <c r="AF904" i="17"/>
  <c r="AH904" i="17" s="1"/>
  <c r="AG904" i="17"/>
  <c r="AG903" i="17"/>
  <c r="AF903" i="17"/>
  <c r="AH903" i="17" s="1"/>
  <c r="AF902" i="17"/>
  <c r="AH902" i="17" s="1"/>
  <c r="AG902" i="17"/>
  <c r="AF901" i="17"/>
  <c r="AH901" i="17" s="1"/>
  <c r="AG901" i="17"/>
  <c r="AF900" i="17"/>
  <c r="AH900" i="17" s="1"/>
  <c r="AG900" i="17"/>
  <c r="AF899" i="17"/>
  <c r="AH899" i="17" s="1"/>
  <c r="AG899" i="17"/>
  <c r="AF898" i="17"/>
  <c r="AH898" i="17" s="1"/>
  <c r="AG898" i="17"/>
  <c r="AF897" i="17"/>
  <c r="AH897" i="17" s="1"/>
  <c r="AG897" i="17"/>
  <c r="AG896" i="17"/>
  <c r="AF896" i="17"/>
  <c r="AH896" i="17" s="1"/>
  <c r="AG895" i="17"/>
  <c r="AF895" i="17"/>
  <c r="AH895" i="17" s="1"/>
  <c r="AG894" i="17"/>
  <c r="AF894" i="17"/>
  <c r="AH894" i="17" s="1"/>
  <c r="AF893" i="17"/>
  <c r="AH893" i="17" s="1"/>
  <c r="AG893" i="17"/>
  <c r="AF892" i="17"/>
  <c r="AH892" i="17" s="1"/>
  <c r="AG892" i="17"/>
  <c r="AF891" i="17"/>
  <c r="AH891" i="17" s="1"/>
  <c r="AG891" i="17"/>
  <c r="AF890" i="17"/>
  <c r="AH890" i="17" s="1"/>
  <c r="AG890" i="17"/>
  <c r="AF889" i="17"/>
  <c r="AH889" i="17" s="1"/>
  <c r="AG889" i="17"/>
  <c r="AG888" i="17"/>
  <c r="AF888" i="17"/>
  <c r="AH888" i="17" s="1"/>
  <c r="AG947" i="17"/>
  <c r="AF947" i="17"/>
  <c r="AH947" i="17" s="1"/>
  <c r="AG949" i="17"/>
  <c r="AF949" i="17"/>
  <c r="AH949" i="17" s="1"/>
  <c r="AF948" i="17"/>
  <c r="AH948" i="17" s="1"/>
  <c r="AG948" i="17"/>
  <c r="AG553" i="17"/>
  <c r="AF553" i="17"/>
  <c r="AH553" i="17" s="1"/>
  <c r="AF552" i="17"/>
  <c r="AH552" i="17" s="1"/>
  <c r="AG552" i="17"/>
  <c r="AF551" i="17"/>
  <c r="AH551" i="17" s="1"/>
  <c r="AG551" i="17"/>
  <c r="AF258" i="17"/>
  <c r="AH258" i="17" s="1"/>
  <c r="AG258" i="17"/>
  <c r="AF257" i="17"/>
  <c r="AH257" i="17" s="1"/>
  <c r="AG257" i="17"/>
  <c r="AF256" i="17"/>
  <c r="AH256" i="17" s="1"/>
  <c r="AG256" i="17"/>
  <c r="AF255" i="17"/>
  <c r="AH255" i="17" s="1"/>
  <c r="AG255" i="17"/>
  <c r="AG254" i="17"/>
  <c r="AF254" i="17"/>
  <c r="AH254" i="17" s="1"/>
  <c r="AG253" i="17"/>
  <c r="AF253" i="17"/>
  <c r="AH253" i="17" s="1"/>
  <c r="AF252" i="17"/>
  <c r="AH252" i="17" s="1"/>
  <c r="AG252" i="17"/>
  <c r="AG251" i="17"/>
  <c r="AF251" i="17"/>
  <c r="AH251" i="17" s="1"/>
  <c r="AF250" i="17"/>
  <c r="AH250" i="17" s="1"/>
  <c r="AG250" i="17"/>
  <c r="AF249" i="17"/>
  <c r="AH249" i="17" s="1"/>
  <c r="AG249" i="17"/>
  <c r="AF248" i="17"/>
  <c r="AH248" i="17" s="1"/>
  <c r="AG248" i="17"/>
  <c r="AG247" i="17"/>
  <c r="AF247" i="17"/>
  <c r="AH247" i="17" s="1"/>
  <c r="AF784" i="17"/>
  <c r="AH784" i="17" s="1"/>
  <c r="AG784" i="17"/>
  <c r="AG783" i="17"/>
  <c r="AF783" i="17"/>
  <c r="AH783" i="17" s="1"/>
  <c r="AG782" i="17"/>
  <c r="AF782" i="17"/>
  <c r="AH782" i="17" s="1"/>
  <c r="AF781" i="17"/>
  <c r="AH781" i="17" s="1"/>
  <c r="AG781" i="17"/>
  <c r="AF780" i="17"/>
  <c r="AH780" i="17" s="1"/>
  <c r="AG780" i="17"/>
  <c r="AG550" i="17"/>
  <c r="AF550" i="17"/>
  <c r="AH550" i="17" s="1"/>
  <c r="AF549" i="17"/>
  <c r="AH549" i="17" s="1"/>
  <c r="AG549" i="17"/>
  <c r="AF548" i="17"/>
  <c r="AH548" i="17" s="1"/>
  <c r="AG548" i="17"/>
  <c r="AG547" i="17"/>
  <c r="AF547" i="17"/>
  <c r="AH547" i="17" s="1"/>
  <c r="AG490" i="17"/>
  <c r="AF490" i="17"/>
  <c r="AH490" i="17" s="1"/>
  <c r="AF479" i="17"/>
  <c r="AH479" i="17" s="1"/>
  <c r="AG479" i="17"/>
  <c r="AG478" i="17"/>
  <c r="AF478" i="17"/>
  <c r="AH478" i="17" s="1"/>
  <c r="AG477" i="17"/>
  <c r="AF477" i="17"/>
  <c r="AH477" i="17" s="1"/>
  <c r="AG476" i="17"/>
  <c r="AF476" i="17"/>
  <c r="AH476" i="17" s="1"/>
  <c r="AG475" i="17"/>
  <c r="AF475" i="17"/>
  <c r="AH475" i="17" s="1"/>
  <c r="AG246" i="17"/>
  <c r="AF246" i="17"/>
  <c r="AH246" i="17" s="1"/>
  <c r="AF245" i="17"/>
  <c r="AH245" i="17" s="1"/>
  <c r="AG245" i="17"/>
  <c r="AG244" i="17"/>
  <c r="AF244" i="17"/>
  <c r="AH244" i="17" s="1"/>
  <c r="AG243" i="17"/>
  <c r="AF243" i="17"/>
  <c r="AH243" i="17" s="1"/>
  <c r="AF242" i="17"/>
  <c r="AH242" i="17" s="1"/>
  <c r="AG242" i="17"/>
  <c r="AF241" i="17"/>
  <c r="AH241" i="17" s="1"/>
  <c r="AG241" i="17"/>
  <c r="AF12" i="17"/>
  <c r="AH12" i="17" s="1"/>
  <c r="AG12" i="17"/>
  <c r="AF11" i="17"/>
  <c r="AH11" i="17" s="1"/>
  <c r="AG11" i="17"/>
  <c r="AF10" i="17"/>
  <c r="AH10" i="17" s="1"/>
  <c r="AG10" i="17"/>
  <c r="AG9" i="17"/>
  <c r="AF9" i="17"/>
  <c r="AH9" i="17" s="1"/>
  <c r="AG711" i="17"/>
  <c r="AF711" i="17"/>
  <c r="AH711" i="17" s="1"/>
  <c r="AF710" i="17"/>
  <c r="AH710" i="17" s="1"/>
  <c r="AG710" i="17"/>
  <c r="AF697" i="17"/>
  <c r="AH697" i="17" s="1"/>
  <c r="AG697" i="17"/>
  <c r="AF696" i="17"/>
  <c r="AH696" i="17" s="1"/>
  <c r="AG696" i="17"/>
  <c r="AG489" i="17"/>
  <c r="AF489" i="17"/>
  <c r="AH489" i="17" s="1"/>
  <c r="AF488" i="17"/>
  <c r="AH488" i="17" s="1"/>
  <c r="AG488" i="17"/>
  <c r="AG240" i="17"/>
  <c r="AF240" i="17"/>
  <c r="AH240" i="17" s="1"/>
  <c r="AG779" i="17"/>
  <c r="AF779" i="17"/>
  <c r="AH779" i="17" s="1"/>
  <c r="AG695" i="17"/>
  <c r="AF695" i="17"/>
  <c r="AH695" i="17" s="1"/>
  <c r="AG694" i="17"/>
  <c r="AF694" i="17"/>
  <c r="AH694" i="17" s="1"/>
  <c r="AF693" i="17"/>
  <c r="AH693" i="17" s="1"/>
  <c r="AG693" i="17"/>
  <c r="AG546" i="17"/>
  <c r="AF546" i="17"/>
  <c r="AH546" i="17" s="1"/>
  <c r="AG474" i="17"/>
  <c r="AF474" i="17"/>
  <c r="AH474" i="17" s="1"/>
  <c r="AF473" i="17"/>
  <c r="AH473" i="17" s="1"/>
  <c r="AG473" i="17"/>
  <c r="AF472" i="17"/>
  <c r="AH472" i="17" s="1"/>
  <c r="AG472" i="17"/>
  <c r="AG417" i="17"/>
  <c r="AF417" i="17"/>
  <c r="AH417" i="17" s="1"/>
  <c r="AG416" i="17"/>
  <c r="AF416" i="17"/>
  <c r="AH416" i="17" s="1"/>
  <c r="AG415" i="17"/>
  <c r="AF415" i="17"/>
  <c r="AH415" i="17" s="1"/>
  <c r="AG414" i="17"/>
  <c r="AF414" i="17"/>
  <c r="AH414" i="17" s="1"/>
  <c r="AF413" i="17"/>
  <c r="AH413" i="17" s="1"/>
  <c r="AG413" i="17"/>
  <c r="AG8" i="17"/>
  <c r="AF8" i="17"/>
  <c r="AH8" i="17" s="1"/>
  <c r="AF965" i="17"/>
  <c r="AH965" i="17" s="1"/>
  <c r="AG965" i="17"/>
  <c r="AG864" i="17"/>
  <c r="AF864" i="17"/>
  <c r="AH864" i="17" s="1"/>
  <c r="AG863" i="17"/>
  <c r="AF863" i="17"/>
  <c r="AH863" i="17" s="1"/>
  <c r="AF860" i="17"/>
  <c r="AH860" i="17" s="1"/>
  <c r="AG860" i="17"/>
  <c r="AF862" i="17"/>
  <c r="AH862" i="17" s="1"/>
  <c r="AG862" i="17"/>
  <c r="AG861" i="17"/>
  <c r="AF861" i="17"/>
  <c r="AH861" i="17" s="1"/>
  <c r="AG859" i="17"/>
  <c r="AF859" i="17"/>
  <c r="AH859" i="17" s="1"/>
  <c r="AG858" i="17"/>
  <c r="AF858" i="17"/>
  <c r="AH858" i="17" s="1"/>
  <c r="AF857" i="17"/>
  <c r="AH857" i="17" s="1"/>
  <c r="AG857" i="17"/>
  <c r="AF856" i="17"/>
  <c r="AH856" i="17" s="1"/>
  <c r="AG856" i="17"/>
  <c r="AF855" i="17"/>
  <c r="AH855" i="17" s="1"/>
  <c r="AG855" i="17"/>
  <c r="AG854" i="17"/>
  <c r="AF854" i="17"/>
  <c r="AH854" i="17" s="1"/>
  <c r="AG853" i="17"/>
  <c r="AF853" i="17"/>
  <c r="AH853" i="17" s="1"/>
  <c r="AF852" i="17"/>
  <c r="AH852" i="17" s="1"/>
  <c r="AG852" i="17"/>
  <c r="AF851" i="17"/>
  <c r="AH851" i="17" s="1"/>
  <c r="AG851" i="17"/>
  <c r="AG850" i="17"/>
  <c r="AF850" i="17"/>
  <c r="AH850" i="17" s="1"/>
  <c r="AF849" i="17"/>
  <c r="AH849" i="17" s="1"/>
  <c r="AG849" i="17"/>
  <c r="AF848" i="17"/>
  <c r="AH848" i="17" s="1"/>
  <c r="AG848" i="17"/>
  <c r="AG847" i="17"/>
  <c r="AF847" i="17"/>
  <c r="AH847" i="17" s="1"/>
  <c r="AG846" i="17"/>
  <c r="AF846" i="17"/>
  <c r="AH846" i="17" s="1"/>
  <c r="AG845" i="17"/>
  <c r="AF845" i="17"/>
  <c r="AH845" i="17" s="1"/>
  <c r="AG844" i="17"/>
  <c r="AF844" i="17"/>
  <c r="AH844" i="17" s="1"/>
  <c r="AF778" i="17"/>
  <c r="AH778" i="17" s="1"/>
  <c r="AG778" i="17"/>
  <c r="AF777" i="17"/>
  <c r="AH777" i="17" s="1"/>
  <c r="AG777" i="17"/>
  <c r="AG776" i="17"/>
  <c r="AF776" i="17"/>
  <c r="AH776" i="17" s="1"/>
  <c r="AG775" i="17"/>
  <c r="AF775" i="17"/>
  <c r="AH775" i="17" s="1"/>
  <c r="AF471" i="17"/>
  <c r="AH471" i="17" s="1"/>
  <c r="AG471" i="17"/>
  <c r="AF470" i="17"/>
  <c r="AH470" i="17" s="1"/>
  <c r="AG470" i="17"/>
  <c r="AG469" i="17"/>
  <c r="AF469" i="17"/>
  <c r="AH469" i="17" s="1"/>
  <c r="AF468" i="17"/>
  <c r="AH468" i="17" s="1"/>
  <c r="AG468" i="17"/>
  <c r="AF467" i="17"/>
  <c r="AH467" i="17" s="1"/>
  <c r="AG467" i="17"/>
  <c r="AG466" i="17"/>
  <c r="AF466" i="17"/>
  <c r="AH466" i="17" s="1"/>
  <c r="AG465" i="17"/>
  <c r="AF465" i="17"/>
  <c r="AH465" i="17" s="1"/>
  <c r="AF464" i="17"/>
  <c r="AH464" i="17" s="1"/>
  <c r="AG464" i="17"/>
  <c r="AG463" i="17"/>
  <c r="AF463" i="17"/>
  <c r="AH463" i="17" s="1"/>
  <c r="AF412" i="17"/>
  <c r="AH412" i="17" s="1"/>
  <c r="AG412" i="17"/>
  <c r="AF411" i="17"/>
  <c r="AH411" i="17" s="1"/>
  <c r="AG411" i="17"/>
  <c r="AF7" i="17"/>
  <c r="AH7" i="17" s="1"/>
  <c r="AG7" i="17"/>
  <c r="AG6" i="17"/>
  <c r="AF6" i="17"/>
  <c r="AH6" i="17" s="1"/>
  <c r="AF5" i="17"/>
  <c r="AH5" i="17" s="1"/>
  <c r="AG5" i="17"/>
  <c r="AF964" i="17"/>
  <c r="AH964" i="17" s="1"/>
  <c r="AG964" i="17"/>
  <c r="AF963" i="17"/>
  <c r="AH963" i="17" s="1"/>
  <c r="AG963" i="17"/>
  <c r="AG962" i="17"/>
  <c r="AF962" i="17"/>
  <c r="AH962" i="17" s="1"/>
  <c r="AF961" i="17"/>
  <c r="AH961" i="17" s="1"/>
  <c r="AG961" i="17"/>
  <c r="AG960" i="17"/>
  <c r="AF960" i="17"/>
  <c r="AH960" i="17" s="1"/>
  <c r="AG959" i="17"/>
  <c r="AF959" i="17"/>
  <c r="AH959" i="17" s="1"/>
  <c r="AF958" i="17"/>
  <c r="AH958" i="17" s="1"/>
  <c r="AG958" i="17"/>
  <c r="AF953" i="17"/>
  <c r="AH953" i="17" s="1"/>
  <c r="AG953" i="17"/>
  <c r="AG952" i="17"/>
  <c r="AF952" i="17"/>
  <c r="AH952" i="17" s="1"/>
  <c r="AF951" i="17"/>
  <c r="AH951" i="17" s="1"/>
  <c r="AG951" i="17"/>
  <c r="AG950" i="17"/>
  <c r="AF950" i="17"/>
  <c r="AH950" i="17" s="1"/>
  <c r="AF886" i="17"/>
  <c r="AH886" i="17" s="1"/>
  <c r="AG886" i="17"/>
  <c r="AF885" i="17"/>
  <c r="AH885" i="17" s="1"/>
  <c r="AG885" i="17"/>
  <c r="AG884" i="17"/>
  <c r="AF884" i="17"/>
  <c r="AH884" i="17" s="1"/>
  <c r="AG957" i="17"/>
  <c r="AF957" i="17"/>
  <c r="AH957" i="17" s="1"/>
  <c r="AF956" i="17"/>
  <c r="AH956" i="17" s="1"/>
  <c r="AG956" i="17"/>
  <c r="AF955" i="17"/>
  <c r="AH955" i="17" s="1"/>
  <c r="AG955" i="17"/>
  <c r="AF954" i="17"/>
  <c r="AH954" i="17" s="1"/>
  <c r="AG954" i="17"/>
  <c r="AG774" i="17"/>
  <c r="AF774" i="17"/>
  <c r="AH774" i="17" s="1"/>
  <c r="AG773" i="17"/>
  <c r="AF773" i="17"/>
  <c r="AH773" i="17" s="1"/>
  <c r="AG772" i="17"/>
  <c r="AF772" i="17"/>
  <c r="AH772" i="17" s="1"/>
  <c r="AG771" i="17"/>
  <c r="AF771" i="17"/>
  <c r="AH771" i="17" s="1"/>
  <c r="AG770" i="17"/>
  <c r="AF770" i="17"/>
  <c r="AH770" i="17" s="1"/>
  <c r="AF769" i="17"/>
  <c r="AH769" i="17" s="1"/>
  <c r="AG769" i="17"/>
  <c r="AF768" i="17"/>
  <c r="AH768" i="17" s="1"/>
  <c r="AG768" i="17"/>
  <c r="AF767" i="17"/>
  <c r="AH767" i="17" s="1"/>
  <c r="AG767" i="17"/>
  <c r="AF715" i="17"/>
  <c r="AH715" i="17" s="1"/>
  <c r="AG715" i="17"/>
  <c r="AF714" i="17"/>
  <c r="AH714" i="17" s="1"/>
  <c r="AG714" i="17"/>
  <c r="AF692" i="17"/>
  <c r="AH692" i="17" s="1"/>
  <c r="AG692" i="17"/>
  <c r="AF691" i="17"/>
  <c r="AH691" i="17" s="1"/>
  <c r="AG691" i="17"/>
  <c r="AF690" i="17"/>
  <c r="AH690" i="17" s="1"/>
  <c r="AG690" i="17"/>
  <c r="AG689" i="17"/>
  <c r="AF689" i="17"/>
  <c r="AH689" i="17" s="1"/>
  <c r="AF688" i="17"/>
  <c r="AH688" i="17" s="1"/>
  <c r="AG688" i="17"/>
  <c r="AF687" i="17"/>
  <c r="AH687" i="17" s="1"/>
  <c r="AG687" i="17"/>
  <c r="AF686" i="17"/>
  <c r="AH686" i="17" s="1"/>
  <c r="AG686" i="17"/>
  <c r="AG685" i="17"/>
  <c r="AF685" i="17"/>
  <c r="AH685" i="17" s="1"/>
  <c r="AG684" i="17"/>
  <c r="AF684" i="17"/>
  <c r="AH684" i="17" s="1"/>
  <c r="AG683" i="17"/>
  <c r="AF683" i="17"/>
  <c r="AH683" i="17" s="1"/>
  <c r="AG682" i="17"/>
  <c r="AF682" i="17"/>
  <c r="AH682" i="17" s="1"/>
  <c r="AF634" i="17"/>
  <c r="AH634" i="17" s="1"/>
  <c r="AG634" i="17"/>
  <c r="AF633" i="17"/>
  <c r="AH633" i="17" s="1"/>
  <c r="AG633" i="17"/>
  <c r="AF632" i="17"/>
  <c r="AH632" i="17" s="1"/>
  <c r="AG632" i="17"/>
  <c r="AF631" i="17"/>
  <c r="AH631" i="17" s="1"/>
  <c r="AG631" i="17"/>
  <c r="AG630" i="17"/>
  <c r="AF630" i="17"/>
  <c r="AH630" i="17" s="1"/>
  <c r="AG629" i="17"/>
  <c r="AF629" i="17"/>
  <c r="AH629" i="17" s="1"/>
  <c r="AF628" i="17"/>
  <c r="AH628" i="17" s="1"/>
  <c r="AG628" i="17"/>
  <c r="AG627" i="17"/>
  <c r="AF627" i="17"/>
  <c r="AH627" i="17" s="1"/>
  <c r="AG626" i="17"/>
  <c r="AF626" i="17"/>
  <c r="AH626" i="17" s="1"/>
  <c r="AG625" i="17"/>
  <c r="AF625" i="17"/>
  <c r="AH625" i="17" s="1"/>
  <c r="AG624" i="17"/>
  <c r="AF624" i="17"/>
  <c r="AH624" i="17" s="1"/>
  <c r="AG623" i="17"/>
  <c r="AF623" i="17"/>
  <c r="AH623" i="17" s="1"/>
  <c r="AG622" i="17"/>
  <c r="AF622" i="17"/>
  <c r="AH622" i="17" s="1"/>
  <c r="AG621" i="17"/>
  <c r="AF621" i="17"/>
  <c r="AH621" i="17" s="1"/>
  <c r="AG620" i="17"/>
  <c r="AF620" i="17"/>
  <c r="AH620" i="17" s="1"/>
  <c r="AG619" i="17"/>
  <c r="AF619" i="17"/>
  <c r="AH619" i="17" s="1"/>
  <c r="AG618" i="17"/>
  <c r="AF618" i="17"/>
  <c r="AH618" i="17" s="1"/>
  <c r="AF617" i="17"/>
  <c r="AH617" i="17" s="1"/>
  <c r="AG617" i="17"/>
  <c r="AF616" i="17"/>
  <c r="AH616" i="17" s="1"/>
  <c r="AG616" i="17"/>
  <c r="AG545" i="17"/>
  <c r="AF545" i="17"/>
  <c r="AH545" i="17" s="1"/>
  <c r="AG544" i="17"/>
  <c r="AF544" i="17"/>
  <c r="AH544" i="17" s="1"/>
  <c r="AF543" i="17"/>
  <c r="AH543" i="17" s="1"/>
  <c r="AG543" i="17"/>
  <c r="AF462" i="17"/>
  <c r="AH462" i="17" s="1"/>
  <c r="AG462" i="17"/>
  <c r="AG461" i="17"/>
  <c r="AF461" i="17"/>
  <c r="AH461" i="17" s="1"/>
  <c r="AF239" i="17"/>
  <c r="AH239" i="17" s="1"/>
  <c r="AG239" i="17"/>
  <c r="AG238" i="17"/>
  <c r="AF238" i="17"/>
  <c r="AH238" i="17" s="1"/>
  <c r="AF168" i="17"/>
  <c r="AH168" i="17" s="1"/>
  <c r="AG168" i="17"/>
  <c r="AG167" i="17"/>
  <c r="AF167" i="17"/>
  <c r="AH167" i="17" s="1"/>
  <c r="AF166" i="17"/>
  <c r="AH166" i="17" s="1"/>
  <c r="AG166" i="17"/>
  <c r="AF165" i="17"/>
  <c r="AH165" i="17" s="1"/>
  <c r="AG165" i="17"/>
  <c r="AF164" i="17"/>
  <c r="AH164" i="17" s="1"/>
  <c r="AG164" i="17"/>
  <c r="AF163" i="17"/>
  <c r="AH163" i="17" s="1"/>
  <c r="AG163" i="17"/>
  <c r="AG162" i="17"/>
  <c r="AF162" i="17"/>
  <c r="AH162" i="17" s="1"/>
  <c r="AG161" i="17"/>
  <c r="AF161" i="17"/>
  <c r="AH161" i="17" s="1"/>
  <c r="AG160" i="17"/>
  <c r="AF160" i="17"/>
  <c r="AH160" i="17" s="1"/>
  <c r="AF159" i="17"/>
  <c r="AH159" i="17" s="1"/>
  <c r="AG159" i="17"/>
  <c r="AF158" i="17"/>
  <c r="AH158" i="17" s="1"/>
  <c r="AG158" i="17"/>
  <c r="AF157" i="17"/>
  <c r="AH157" i="17" s="1"/>
  <c r="AG157" i="17"/>
  <c r="AF156" i="17"/>
  <c r="AH156" i="17" s="1"/>
  <c r="AG156" i="17"/>
  <c r="AF155" i="17"/>
  <c r="AH155" i="17" s="1"/>
  <c r="AG155" i="17"/>
  <c r="AG154" i="17"/>
  <c r="AF154" i="17"/>
  <c r="AH154" i="17" s="1"/>
  <c r="AF153" i="17"/>
  <c r="AH153" i="17" s="1"/>
  <c r="AG153" i="17"/>
  <c r="AG152" i="17"/>
  <c r="AF152" i="17"/>
  <c r="AH152" i="17" s="1"/>
  <c r="AF151" i="17"/>
  <c r="AH151" i="17" s="1"/>
  <c r="AG151" i="17"/>
  <c r="AG150" i="17"/>
  <c r="AF150" i="17"/>
  <c r="AH150" i="17" s="1"/>
  <c r="AG149" i="17"/>
  <c r="AF149" i="17"/>
  <c r="AH149" i="17" s="1"/>
  <c r="AG148" i="17"/>
  <c r="AF148" i="17"/>
  <c r="AH148" i="17" s="1"/>
  <c r="AG147" i="17"/>
  <c r="AF147" i="17"/>
  <c r="AH147" i="17" s="1"/>
  <c r="AG146" i="17"/>
  <c r="AF146" i="17"/>
  <c r="AH146" i="17" s="1"/>
  <c r="AF145" i="17"/>
  <c r="AH145" i="17" s="1"/>
  <c r="AG145" i="17"/>
  <c r="AG144" i="17"/>
  <c r="AF144" i="17"/>
  <c r="AH144" i="17" s="1"/>
  <c r="AF53" i="17"/>
  <c r="AH53" i="17" s="1"/>
  <c r="AG53" i="17"/>
  <c r="AF52" i="17"/>
  <c r="AH52" i="17" s="1"/>
  <c r="AG52" i="17"/>
  <c r="AG51" i="17"/>
  <c r="AF51" i="17"/>
  <c r="AH51" i="17" s="1"/>
  <c r="AG50" i="17"/>
  <c r="AF50" i="17"/>
  <c r="AH50" i="17" s="1"/>
  <c r="AG49" i="17"/>
  <c r="AF49" i="17"/>
  <c r="AH49" i="17" s="1"/>
  <c r="AG48" i="17"/>
  <c r="AF48" i="17"/>
  <c r="AH48" i="17" s="1"/>
  <c r="AG47" i="17"/>
  <c r="AF47" i="17"/>
  <c r="AH47" i="17" s="1"/>
  <c r="AG46" i="17"/>
  <c r="AF46" i="17"/>
  <c r="AH46" i="17" s="1"/>
  <c r="AF45" i="17"/>
  <c r="AH45" i="17" s="1"/>
  <c r="AG45" i="17"/>
  <c r="AG44" i="17"/>
  <c r="AF44" i="17"/>
  <c r="AH44" i="17" s="1"/>
  <c r="AG43" i="17"/>
  <c r="AF43" i="17"/>
  <c r="AH43" i="17" s="1"/>
  <c r="AG42" i="17"/>
  <c r="AF42" i="17"/>
  <c r="AH42" i="17" s="1"/>
  <c r="AG41" i="17"/>
  <c r="AF41" i="17"/>
  <c r="AH41" i="17" s="1"/>
  <c r="AG40" i="17"/>
  <c r="AF40" i="17"/>
  <c r="AH40" i="17" s="1"/>
  <c r="AG4" i="17"/>
  <c r="AF4" i="17"/>
  <c r="AH4" i="17" s="1"/>
  <c r="AG920" i="17"/>
  <c r="AF920" i="17"/>
  <c r="AH920" i="17" s="1"/>
  <c r="AG883" i="17"/>
  <c r="AF883" i="17"/>
  <c r="AH883" i="17" s="1"/>
  <c r="AG882" i="17"/>
  <c r="AF882" i="17"/>
  <c r="AH882" i="17" s="1"/>
  <c r="AG881" i="17"/>
  <c r="AF881" i="17"/>
  <c r="AH881" i="17" s="1"/>
  <c r="AG880" i="17"/>
  <c r="AF880" i="17"/>
  <c r="AH880" i="17" s="1"/>
  <c r="AF879" i="17"/>
  <c r="AH879" i="17" s="1"/>
  <c r="AG879" i="17"/>
  <c r="AG878" i="17"/>
  <c r="AF878" i="17"/>
  <c r="AH878" i="17" s="1"/>
  <c r="AF877" i="17"/>
  <c r="AH877" i="17" s="1"/>
  <c r="AG877" i="17"/>
  <c r="AF876" i="17"/>
  <c r="AH876" i="17" s="1"/>
  <c r="AG876" i="17"/>
  <c r="AG875" i="17"/>
  <c r="AF875" i="17"/>
  <c r="AH875" i="17" s="1"/>
  <c r="AG874" i="17"/>
  <c r="AF874" i="17"/>
  <c r="AH874" i="17" s="1"/>
  <c r="AF873" i="17"/>
  <c r="AH873" i="17" s="1"/>
  <c r="AG873" i="17"/>
  <c r="AF872" i="17"/>
  <c r="AH872" i="17" s="1"/>
  <c r="AG872" i="17"/>
  <c r="AF871" i="17"/>
  <c r="AH871" i="17" s="1"/>
  <c r="AG871" i="17"/>
  <c r="AF843" i="17"/>
  <c r="AH843" i="17" s="1"/>
  <c r="AG843" i="17"/>
  <c r="AF842" i="17"/>
  <c r="AH842" i="17" s="1"/>
  <c r="AG842" i="17"/>
  <c r="AG841" i="17"/>
  <c r="AF841" i="17"/>
  <c r="AH841" i="17" s="1"/>
  <c r="AG840" i="17"/>
  <c r="AF840" i="17"/>
  <c r="AH840" i="17" s="1"/>
  <c r="AF839" i="17"/>
  <c r="AH839" i="17" s="1"/>
  <c r="AG839" i="17"/>
  <c r="AF838" i="17"/>
  <c r="AH838" i="17" s="1"/>
  <c r="AG838" i="17"/>
  <c r="AG837" i="17"/>
  <c r="AF837" i="17"/>
  <c r="AH837" i="17" s="1"/>
  <c r="AG836" i="17"/>
  <c r="AF836" i="17"/>
  <c r="AH836" i="17" s="1"/>
  <c r="AG835" i="17"/>
  <c r="AF835" i="17"/>
  <c r="AH835" i="17" s="1"/>
  <c r="AF834" i="17"/>
  <c r="AH834" i="17" s="1"/>
  <c r="AG834" i="17"/>
  <c r="AF833" i="17"/>
  <c r="AH833" i="17" s="1"/>
  <c r="AG833" i="17"/>
  <c r="AF832" i="17"/>
  <c r="AH832" i="17" s="1"/>
  <c r="AG832" i="17"/>
  <c r="AF831" i="17"/>
  <c r="AH831" i="17" s="1"/>
  <c r="AG831" i="17"/>
  <c r="AG830" i="17"/>
  <c r="AF830" i="17"/>
  <c r="AH830" i="17" s="1"/>
  <c r="AG829" i="17"/>
  <c r="AF829" i="17"/>
  <c r="AH829" i="17" s="1"/>
  <c r="AG828" i="17"/>
  <c r="AF828" i="17"/>
  <c r="AH828" i="17" s="1"/>
  <c r="AF827" i="17"/>
  <c r="AH827" i="17" s="1"/>
  <c r="AG827" i="17"/>
  <c r="AF826" i="17"/>
  <c r="AH826" i="17" s="1"/>
  <c r="AG826" i="17"/>
  <c r="AG807" i="17"/>
  <c r="AF807" i="17"/>
  <c r="AH807" i="17" s="1"/>
  <c r="AG806" i="17"/>
  <c r="AF806" i="17"/>
  <c r="AH806" i="17" s="1"/>
  <c r="AG805" i="17"/>
  <c r="AF805" i="17"/>
  <c r="AH805" i="17" s="1"/>
  <c r="AG804" i="17"/>
  <c r="AF804" i="17"/>
  <c r="AH804" i="17" s="1"/>
  <c r="AG803" i="17"/>
  <c r="AF803" i="17"/>
  <c r="AH803" i="17" s="1"/>
  <c r="AG802" i="17"/>
  <c r="AF802" i="17"/>
  <c r="AH802" i="17" s="1"/>
  <c r="AF801" i="17"/>
  <c r="AH801" i="17" s="1"/>
  <c r="AG801" i="17"/>
  <c r="AF800" i="17"/>
  <c r="AH800" i="17" s="1"/>
  <c r="AG800" i="17"/>
  <c r="AF799" i="17"/>
  <c r="AH799" i="17" s="1"/>
  <c r="AG799" i="17"/>
  <c r="AF798" i="17"/>
  <c r="AH798" i="17" s="1"/>
  <c r="AG798" i="17"/>
  <c r="AG797" i="17"/>
  <c r="AF797" i="17"/>
  <c r="AH797" i="17" s="1"/>
  <c r="AG796" i="17"/>
  <c r="AF796" i="17"/>
  <c r="AH796" i="17" s="1"/>
  <c r="AF795" i="17"/>
  <c r="AH795" i="17" s="1"/>
  <c r="AG795" i="17"/>
  <c r="AG794" i="17"/>
  <c r="AF794" i="17"/>
  <c r="AH794" i="17" s="1"/>
  <c r="AG793" i="17"/>
  <c r="AF793" i="17"/>
  <c r="AH793" i="17" s="1"/>
  <c r="AG766" i="17"/>
  <c r="AF766" i="17"/>
  <c r="AH766" i="17" s="1"/>
  <c r="AG765" i="17"/>
  <c r="AF765" i="17"/>
  <c r="AH765" i="17" s="1"/>
  <c r="AF764" i="17"/>
  <c r="AH764" i="17" s="1"/>
  <c r="AG764" i="17"/>
  <c r="AF763" i="17"/>
  <c r="AH763" i="17" s="1"/>
  <c r="AG763" i="17"/>
  <c r="AF762" i="17"/>
  <c r="AH762" i="17" s="1"/>
  <c r="AG762" i="17"/>
  <c r="AG761" i="17"/>
  <c r="AF761" i="17"/>
  <c r="AH761" i="17" s="1"/>
  <c r="AF760" i="17"/>
  <c r="AH760" i="17" s="1"/>
  <c r="AG760" i="17"/>
  <c r="AG759" i="17"/>
  <c r="AF759" i="17"/>
  <c r="AH759" i="17" s="1"/>
  <c r="AF758" i="17"/>
  <c r="AH758" i="17" s="1"/>
  <c r="AG758" i="17"/>
  <c r="AG757" i="17"/>
  <c r="AF757" i="17"/>
  <c r="AH757" i="17" s="1"/>
  <c r="AF756" i="17"/>
  <c r="AH756" i="17" s="1"/>
  <c r="AG756" i="17"/>
  <c r="AF755" i="17"/>
  <c r="AH755" i="17" s="1"/>
  <c r="AG755" i="17"/>
  <c r="AF754" i="17"/>
  <c r="AH754" i="17" s="1"/>
  <c r="AG754" i="17"/>
  <c r="AG753" i="17"/>
  <c r="AF753" i="17"/>
  <c r="AH753" i="17" s="1"/>
  <c r="AG752" i="17"/>
  <c r="AF752" i="17"/>
  <c r="AH752" i="17" s="1"/>
  <c r="AF751" i="17"/>
  <c r="AH751" i="17" s="1"/>
  <c r="AG751" i="17"/>
  <c r="AG750" i="17"/>
  <c r="AF750" i="17"/>
  <c r="AH750" i="17" s="1"/>
  <c r="AG749" i="17"/>
  <c r="AF749" i="17"/>
  <c r="AH749" i="17" s="1"/>
  <c r="AF748" i="17"/>
  <c r="AH748" i="17" s="1"/>
  <c r="AG748" i="17"/>
  <c r="AF747" i="17"/>
  <c r="AH747" i="17" s="1"/>
  <c r="AG747" i="17"/>
  <c r="AG746" i="17"/>
  <c r="AF746" i="17"/>
  <c r="AH746" i="17" s="1"/>
  <c r="AF745" i="17"/>
  <c r="AH745" i="17" s="1"/>
  <c r="AG745" i="17"/>
  <c r="AF744" i="17"/>
  <c r="AH744" i="17" s="1"/>
  <c r="AG744" i="17"/>
  <c r="AF743" i="17"/>
  <c r="AH743" i="17" s="1"/>
  <c r="AG743" i="17"/>
  <c r="AF742" i="17"/>
  <c r="AH742" i="17" s="1"/>
  <c r="AG742" i="17"/>
  <c r="AG741" i="17"/>
  <c r="AF741" i="17"/>
  <c r="AH741" i="17" s="1"/>
  <c r="AF740" i="17"/>
  <c r="AH740" i="17" s="1"/>
  <c r="AG740" i="17"/>
  <c r="AG739" i="17"/>
  <c r="AF739" i="17"/>
  <c r="AH739" i="17" s="1"/>
  <c r="AF738" i="17"/>
  <c r="AH738" i="17" s="1"/>
  <c r="AG738" i="17"/>
  <c r="AF737" i="17"/>
  <c r="AH737" i="17" s="1"/>
  <c r="AG737" i="17"/>
  <c r="AG736" i="17"/>
  <c r="AF736" i="17"/>
  <c r="AH736" i="17" s="1"/>
  <c r="AG735" i="17"/>
  <c r="AF735" i="17"/>
  <c r="AH735" i="17" s="1"/>
  <c r="AG734" i="17"/>
  <c r="AF734" i="17"/>
  <c r="AH734" i="17" s="1"/>
  <c r="AF733" i="17"/>
  <c r="AH733" i="17" s="1"/>
  <c r="AG733" i="17"/>
  <c r="AF732" i="17"/>
  <c r="AH732" i="17" s="1"/>
  <c r="AG732" i="17"/>
  <c r="AG731" i="17"/>
  <c r="AF731" i="17"/>
  <c r="AH731" i="17" s="1"/>
  <c r="AF730" i="17"/>
  <c r="AH730" i="17" s="1"/>
  <c r="AG730" i="17"/>
  <c r="AG729" i="17"/>
  <c r="AF729" i="17"/>
  <c r="AH729" i="17" s="1"/>
  <c r="AG728" i="17"/>
  <c r="AF728" i="17"/>
  <c r="AH728" i="17" s="1"/>
  <c r="AF727" i="17"/>
  <c r="AH727" i="17" s="1"/>
  <c r="AG727" i="17"/>
  <c r="AG726" i="17"/>
  <c r="AF726" i="17"/>
  <c r="AH726" i="17" s="1"/>
  <c r="AG725" i="17"/>
  <c r="AF725" i="17"/>
  <c r="AH725" i="17" s="1"/>
  <c r="AG724" i="17"/>
  <c r="AF724" i="17"/>
  <c r="AH724" i="17" s="1"/>
  <c r="AF723" i="17"/>
  <c r="AH723" i="17" s="1"/>
  <c r="AG723" i="17"/>
  <c r="AG722" i="17"/>
  <c r="AF722" i="17"/>
  <c r="AH722" i="17" s="1"/>
  <c r="AF721" i="17"/>
  <c r="AH721" i="17" s="1"/>
  <c r="AG721" i="17"/>
  <c r="AF720" i="17"/>
  <c r="AH720" i="17" s="1"/>
  <c r="AG720" i="17"/>
  <c r="AG719" i="17"/>
  <c r="AF719" i="17"/>
  <c r="AH719" i="17" s="1"/>
  <c r="AG718" i="17"/>
  <c r="AF718" i="17"/>
  <c r="AH718" i="17" s="1"/>
  <c r="AF717" i="17"/>
  <c r="AH717" i="17" s="1"/>
  <c r="AG717" i="17"/>
  <c r="AF716" i="17"/>
  <c r="AH716" i="17" s="1"/>
  <c r="AG716" i="17"/>
  <c r="AG681" i="17"/>
  <c r="AF681" i="17"/>
  <c r="AH681" i="17" s="1"/>
  <c r="AF680" i="17"/>
  <c r="AH680" i="17" s="1"/>
  <c r="AG680" i="17"/>
  <c r="AG679" i="17"/>
  <c r="AF679" i="17"/>
  <c r="AH679" i="17" s="1"/>
  <c r="AG678" i="17"/>
  <c r="AF678" i="17"/>
  <c r="AH678" i="17" s="1"/>
  <c r="AG677" i="17"/>
  <c r="AF677" i="17"/>
  <c r="AH677" i="17" s="1"/>
  <c r="AF676" i="17"/>
  <c r="AH676" i="17" s="1"/>
  <c r="AG676" i="17"/>
  <c r="AF675" i="17"/>
  <c r="AH675" i="17" s="1"/>
  <c r="AG675" i="17"/>
  <c r="AF674" i="17"/>
  <c r="AH674" i="17" s="1"/>
  <c r="AG674" i="17"/>
  <c r="AF673" i="17"/>
  <c r="AH673" i="17" s="1"/>
  <c r="AG673" i="17"/>
  <c r="AF672" i="17"/>
  <c r="AH672" i="17" s="1"/>
  <c r="AG672" i="17"/>
  <c r="AG671" i="17"/>
  <c r="AF671" i="17"/>
  <c r="AH671" i="17" s="1"/>
  <c r="AG670" i="17"/>
  <c r="AF670" i="17"/>
  <c r="AH670" i="17" s="1"/>
  <c r="AG669" i="17"/>
  <c r="AF669" i="17"/>
  <c r="AH669" i="17" s="1"/>
  <c r="AF668" i="17"/>
  <c r="AH668" i="17" s="1"/>
  <c r="AG668" i="17"/>
  <c r="AG667" i="17"/>
  <c r="AF667" i="17"/>
  <c r="AH667" i="17" s="1"/>
  <c r="AG666" i="17"/>
  <c r="AF666" i="17"/>
  <c r="AH666" i="17" s="1"/>
  <c r="AG665" i="17"/>
  <c r="AF665" i="17"/>
  <c r="AH665" i="17" s="1"/>
  <c r="AG664" i="17"/>
  <c r="AF664" i="17"/>
  <c r="AH664" i="17" s="1"/>
  <c r="AG663" i="17"/>
  <c r="AF663" i="17"/>
  <c r="AH663" i="17" s="1"/>
  <c r="AG662" i="17"/>
  <c r="AF662" i="17"/>
  <c r="AH662" i="17" s="1"/>
  <c r="AG661" i="17"/>
  <c r="AF661" i="17"/>
  <c r="AH661" i="17" s="1"/>
  <c r="AG660" i="17"/>
  <c r="AF660" i="17"/>
  <c r="AH660" i="17" s="1"/>
  <c r="AG659" i="17"/>
  <c r="AF659" i="17"/>
  <c r="AH659" i="17" s="1"/>
  <c r="AF658" i="17"/>
  <c r="AH658" i="17" s="1"/>
  <c r="AG658" i="17"/>
  <c r="AF657" i="17"/>
  <c r="AH657" i="17" s="1"/>
  <c r="AG657" i="17"/>
  <c r="AF656" i="17"/>
  <c r="AH656" i="17" s="1"/>
  <c r="AG656" i="17"/>
  <c r="AG655" i="17"/>
  <c r="AF655" i="17"/>
  <c r="AH655" i="17" s="1"/>
  <c r="AF648" i="17"/>
  <c r="AH648" i="17" s="1"/>
  <c r="AG648" i="17"/>
  <c r="AG647" i="17"/>
  <c r="AF647" i="17"/>
  <c r="AH647" i="17" s="1"/>
  <c r="AG646" i="17"/>
  <c r="AF646" i="17"/>
  <c r="AH646" i="17" s="1"/>
  <c r="AG645" i="17"/>
  <c r="AF645" i="17"/>
  <c r="AH645" i="17" s="1"/>
  <c r="AF644" i="17"/>
  <c r="AH644" i="17" s="1"/>
  <c r="AG644" i="17"/>
  <c r="AG643" i="17"/>
  <c r="AF643" i="17"/>
  <c r="AH643" i="17" s="1"/>
  <c r="AF642" i="17"/>
  <c r="AH642" i="17" s="1"/>
  <c r="AG642" i="17"/>
  <c r="AG641" i="17"/>
  <c r="AF641" i="17"/>
  <c r="AH641" i="17" s="1"/>
  <c r="AG640" i="17"/>
  <c r="AF640" i="17"/>
  <c r="AH640" i="17" s="1"/>
  <c r="AF639" i="17"/>
  <c r="AH639" i="17" s="1"/>
  <c r="AG639" i="17"/>
  <c r="AG638" i="17"/>
  <c r="AF638" i="17"/>
  <c r="AH638" i="17" s="1"/>
  <c r="AF637" i="17"/>
  <c r="AH637" i="17" s="1"/>
  <c r="AG637" i="17"/>
  <c r="AG636" i="17"/>
  <c r="AF636" i="17"/>
  <c r="AH636" i="17" s="1"/>
  <c r="AG635" i="17"/>
  <c r="AF635" i="17"/>
  <c r="AH635" i="17" s="1"/>
  <c r="AG615" i="17"/>
  <c r="AF615" i="17"/>
  <c r="AH615" i="17" s="1"/>
  <c r="AG614" i="17"/>
  <c r="AF614" i="17"/>
  <c r="AH614" i="17" s="1"/>
  <c r="AF613" i="17"/>
  <c r="AH613" i="17" s="1"/>
  <c r="AG613" i="17"/>
  <c r="AG612" i="17"/>
  <c r="AF612" i="17"/>
  <c r="AH612" i="17" s="1"/>
  <c r="AF611" i="17"/>
  <c r="AH611" i="17" s="1"/>
  <c r="AG611" i="17"/>
  <c r="AG610" i="17"/>
  <c r="AF610" i="17"/>
  <c r="AH610" i="17" s="1"/>
  <c r="AG609" i="17"/>
  <c r="AF609" i="17"/>
  <c r="AH609" i="17" s="1"/>
  <c r="AF608" i="17"/>
  <c r="AH608" i="17" s="1"/>
  <c r="AG608" i="17"/>
  <c r="AF607" i="17"/>
  <c r="AH607" i="17" s="1"/>
  <c r="AG607" i="17"/>
  <c r="AG606" i="17"/>
  <c r="AF606" i="17"/>
  <c r="AH606" i="17" s="1"/>
  <c r="AG605" i="17"/>
  <c r="AF605" i="17"/>
  <c r="AH605" i="17" s="1"/>
  <c r="AG604" i="17"/>
  <c r="AF604" i="17"/>
  <c r="AH604" i="17" s="1"/>
  <c r="AG603" i="17"/>
  <c r="AF603" i="17"/>
  <c r="AH603" i="17" s="1"/>
  <c r="AG602" i="17"/>
  <c r="AF602" i="17"/>
  <c r="AH602" i="17" s="1"/>
  <c r="AF601" i="17"/>
  <c r="AH601" i="17" s="1"/>
  <c r="AG601" i="17"/>
  <c r="AG600" i="17"/>
  <c r="AF600" i="17"/>
  <c r="AH600" i="17" s="1"/>
  <c r="AG599" i="17"/>
  <c r="AF599" i="17"/>
  <c r="AH599" i="17" s="1"/>
  <c r="AG598" i="17"/>
  <c r="AF598" i="17"/>
  <c r="AH598" i="17" s="1"/>
  <c r="AF597" i="17"/>
  <c r="AH597" i="17" s="1"/>
  <c r="AG597" i="17"/>
  <c r="AG596" i="17"/>
  <c r="AF596" i="17"/>
  <c r="AH596" i="17" s="1"/>
  <c r="AG595" i="17"/>
  <c r="AF595" i="17"/>
  <c r="AH595" i="17" s="1"/>
  <c r="AG594" i="17"/>
  <c r="AF594" i="17"/>
  <c r="AH594" i="17" s="1"/>
  <c r="AF593" i="17"/>
  <c r="AH593" i="17" s="1"/>
  <c r="AG593" i="17"/>
  <c r="AG592" i="17"/>
  <c r="AF592" i="17"/>
  <c r="AH592" i="17" s="1"/>
  <c r="AF588" i="17"/>
  <c r="AH588" i="17" s="1"/>
  <c r="AG588" i="17"/>
  <c r="AF587" i="17"/>
  <c r="AH587" i="17" s="1"/>
  <c r="AG587" i="17"/>
  <c r="AG586" i="17"/>
  <c r="AF586" i="17"/>
  <c r="AH586" i="17" s="1"/>
  <c r="AF585" i="17"/>
  <c r="AH585" i="17" s="1"/>
  <c r="AG585" i="17"/>
  <c r="AF584" i="17"/>
  <c r="AH584" i="17" s="1"/>
  <c r="AG584" i="17"/>
  <c r="AF583" i="17"/>
  <c r="AH583" i="17" s="1"/>
  <c r="AG583" i="17"/>
  <c r="AF582" i="17"/>
  <c r="AH582" i="17" s="1"/>
  <c r="AG582" i="17"/>
  <c r="AF581" i="17"/>
  <c r="AH581" i="17" s="1"/>
  <c r="AG581" i="17"/>
  <c r="AF580" i="17"/>
  <c r="AH580" i="17" s="1"/>
  <c r="AG580" i="17"/>
  <c r="AG579" i="17"/>
  <c r="AF579" i="17"/>
  <c r="AH579" i="17" s="1"/>
  <c r="AG578" i="17"/>
  <c r="AF578" i="17"/>
  <c r="AH578" i="17" s="1"/>
  <c r="AG577" i="17"/>
  <c r="AF577" i="17"/>
  <c r="AH577" i="17" s="1"/>
  <c r="AF576" i="17"/>
  <c r="AH576" i="17" s="1"/>
  <c r="AG576" i="17"/>
  <c r="AG575" i="17"/>
  <c r="AF575" i="17"/>
  <c r="AH575" i="17" s="1"/>
  <c r="AF574" i="17"/>
  <c r="AH574" i="17" s="1"/>
  <c r="AG574" i="17"/>
  <c r="AF573" i="17"/>
  <c r="AH573" i="17" s="1"/>
  <c r="AG573" i="17"/>
  <c r="AF572" i="17"/>
  <c r="AH572" i="17" s="1"/>
  <c r="AG572" i="17"/>
  <c r="AG571" i="17"/>
  <c r="AF571" i="17"/>
  <c r="AH571" i="17" s="1"/>
  <c r="AF570" i="17"/>
  <c r="AH570" i="17" s="1"/>
  <c r="AG570" i="17"/>
  <c r="AG569" i="17"/>
  <c r="AF569" i="17"/>
  <c r="AH569" i="17" s="1"/>
  <c r="AF568" i="17"/>
  <c r="AH568" i="17" s="1"/>
  <c r="AG568" i="17"/>
  <c r="AF567" i="17"/>
  <c r="AH567" i="17" s="1"/>
  <c r="AG567" i="17"/>
  <c r="AG566" i="17"/>
  <c r="AF566" i="17"/>
  <c r="AH566" i="17" s="1"/>
  <c r="AF565" i="17"/>
  <c r="AH565" i="17" s="1"/>
  <c r="AG565" i="17"/>
  <c r="AF564" i="17"/>
  <c r="AH564" i="17" s="1"/>
  <c r="AG564" i="17"/>
  <c r="AG563" i="17"/>
  <c r="AF563" i="17"/>
  <c r="AH563" i="17" s="1"/>
  <c r="AG562" i="17"/>
  <c r="AF562" i="17"/>
  <c r="AH562" i="17" s="1"/>
  <c r="AG561" i="17"/>
  <c r="AF561" i="17"/>
  <c r="AH561" i="17" s="1"/>
  <c r="AG560" i="17"/>
  <c r="AF560" i="17"/>
  <c r="AH560" i="17" s="1"/>
  <c r="AG559" i="17"/>
  <c r="AF559" i="17"/>
  <c r="AH559" i="17" s="1"/>
  <c r="AG558" i="17"/>
  <c r="AF558" i="17"/>
  <c r="AH558" i="17" s="1"/>
  <c r="AG542" i="17"/>
  <c r="AF542" i="17"/>
  <c r="AH542" i="17" s="1"/>
  <c r="AG541" i="17"/>
  <c r="AF541" i="17"/>
  <c r="AH541" i="17" s="1"/>
  <c r="AG540" i="17"/>
  <c r="AF540" i="17"/>
  <c r="AH540" i="17" s="1"/>
  <c r="AG539" i="17"/>
  <c r="AF539" i="17"/>
  <c r="AH539" i="17" s="1"/>
  <c r="AF538" i="17"/>
  <c r="AH538" i="17" s="1"/>
  <c r="AG538" i="17"/>
  <c r="AG537" i="17"/>
  <c r="AF537" i="17"/>
  <c r="AH537" i="17" s="1"/>
  <c r="AG536" i="17"/>
  <c r="AF536" i="17"/>
  <c r="AH536" i="17" s="1"/>
  <c r="AG535" i="17"/>
  <c r="AF535" i="17"/>
  <c r="AH535" i="17" s="1"/>
  <c r="AG534" i="17"/>
  <c r="AF534" i="17"/>
  <c r="AH534" i="17" s="1"/>
  <c r="AF533" i="17"/>
  <c r="AH533" i="17" s="1"/>
  <c r="AG533" i="17"/>
  <c r="AF532" i="17"/>
  <c r="AH532" i="17" s="1"/>
  <c r="AG532" i="17"/>
  <c r="AG531" i="17"/>
  <c r="AF531" i="17"/>
  <c r="AH531" i="17" s="1"/>
  <c r="AG530" i="17"/>
  <c r="AF530" i="17"/>
  <c r="AH530" i="17" s="1"/>
  <c r="AG529" i="17"/>
  <c r="AF529" i="17"/>
  <c r="AH529" i="17" s="1"/>
  <c r="AF528" i="17"/>
  <c r="AH528" i="17" s="1"/>
  <c r="AG528" i="17"/>
  <c r="AF527" i="17"/>
  <c r="AH527" i="17" s="1"/>
  <c r="AG527" i="17"/>
  <c r="AF526" i="17"/>
  <c r="AH526" i="17" s="1"/>
  <c r="AG526" i="17"/>
  <c r="AG525" i="17"/>
  <c r="AF525" i="17"/>
  <c r="AH525" i="17" s="1"/>
  <c r="AG524" i="17"/>
  <c r="AF524" i="17"/>
  <c r="AH524" i="17" s="1"/>
  <c r="AF523" i="17"/>
  <c r="AH523" i="17" s="1"/>
  <c r="AG523" i="17"/>
  <c r="AF522" i="17"/>
  <c r="AH522" i="17" s="1"/>
  <c r="AG522" i="17"/>
  <c r="AG521" i="17"/>
  <c r="AF521" i="17"/>
  <c r="AH521" i="17" s="1"/>
  <c r="AG520" i="17"/>
  <c r="AF520" i="17"/>
  <c r="AH520" i="17" s="1"/>
  <c r="AF519" i="17"/>
  <c r="AH519" i="17" s="1"/>
  <c r="AG519" i="17"/>
  <c r="AG518" i="17"/>
  <c r="AF518" i="17"/>
  <c r="AH518" i="17" s="1"/>
  <c r="AF517" i="17"/>
  <c r="AH517" i="17" s="1"/>
  <c r="AG517" i="17"/>
  <c r="AG516" i="17"/>
  <c r="AF516" i="17"/>
  <c r="AH516" i="17" s="1"/>
  <c r="AF515" i="17"/>
  <c r="AH515" i="17" s="1"/>
  <c r="AG515" i="17"/>
  <c r="AG514" i="17"/>
  <c r="AF514" i="17"/>
  <c r="AH514" i="17" s="1"/>
  <c r="AG513" i="17"/>
  <c r="AF513" i="17"/>
  <c r="AH513" i="17" s="1"/>
  <c r="AG512" i="17"/>
  <c r="AF512" i="17"/>
  <c r="AH512" i="17" s="1"/>
  <c r="AF511" i="17"/>
  <c r="AH511" i="17" s="1"/>
  <c r="AG511" i="17"/>
  <c r="AG510" i="17"/>
  <c r="AF510" i="17"/>
  <c r="AH510" i="17" s="1"/>
  <c r="AG509" i="17"/>
  <c r="AF509" i="17"/>
  <c r="AH509" i="17" s="1"/>
  <c r="AF508" i="17"/>
  <c r="AH508" i="17" s="1"/>
  <c r="AG508" i="17"/>
  <c r="AG507" i="17"/>
  <c r="AF507" i="17"/>
  <c r="AH507" i="17" s="1"/>
  <c r="AF506" i="17"/>
  <c r="AH506" i="17" s="1"/>
  <c r="AG506" i="17"/>
  <c r="AG505" i="17"/>
  <c r="AF505" i="17"/>
  <c r="AH505" i="17" s="1"/>
  <c r="AG504" i="17"/>
  <c r="AF504" i="17"/>
  <c r="AH504" i="17" s="1"/>
  <c r="AF503" i="17"/>
  <c r="AH503" i="17" s="1"/>
  <c r="AG503" i="17"/>
  <c r="AF502" i="17"/>
  <c r="AH502" i="17" s="1"/>
  <c r="AG502" i="17"/>
  <c r="AF501" i="17"/>
  <c r="AH501" i="17" s="1"/>
  <c r="AG501" i="17"/>
  <c r="AF500" i="17"/>
  <c r="AH500" i="17" s="1"/>
  <c r="AG500" i="17"/>
  <c r="AF499" i="17"/>
  <c r="AH499" i="17" s="1"/>
  <c r="AG499" i="17"/>
  <c r="AG498" i="17"/>
  <c r="AF498" i="17"/>
  <c r="AH498" i="17" s="1"/>
  <c r="AG497" i="17"/>
  <c r="AF497" i="17"/>
  <c r="AH497" i="17" s="1"/>
  <c r="AF496" i="17"/>
  <c r="AH496" i="17" s="1"/>
  <c r="AG496" i="17"/>
  <c r="AF495" i="17"/>
  <c r="AH495" i="17" s="1"/>
  <c r="AG495" i="17"/>
  <c r="AF494" i="17"/>
  <c r="AH494" i="17" s="1"/>
  <c r="AG494" i="17"/>
  <c r="AF493" i="17"/>
  <c r="AH493" i="17" s="1"/>
  <c r="AG493" i="17"/>
  <c r="AG492" i="17"/>
  <c r="AF492" i="17"/>
  <c r="AH492" i="17" s="1"/>
  <c r="AG491" i="17"/>
  <c r="AF491" i="17"/>
  <c r="AH491" i="17" s="1"/>
  <c r="AG433" i="17"/>
  <c r="AF433" i="17"/>
  <c r="AH433" i="17" s="1"/>
  <c r="AG432" i="17"/>
  <c r="AF432" i="17"/>
  <c r="AH432" i="17" s="1"/>
  <c r="AF431" i="17"/>
  <c r="AH431" i="17" s="1"/>
  <c r="AG431" i="17"/>
  <c r="AF430" i="17"/>
  <c r="AH430" i="17" s="1"/>
  <c r="AG430" i="17"/>
  <c r="AF429" i="17"/>
  <c r="AH429" i="17" s="1"/>
  <c r="AG429" i="17"/>
  <c r="AF428" i="17"/>
  <c r="AH428" i="17" s="1"/>
  <c r="AG428" i="17"/>
  <c r="AF427" i="17"/>
  <c r="AH427" i="17" s="1"/>
  <c r="AG427" i="17"/>
  <c r="AG426" i="17"/>
  <c r="AF426" i="17"/>
  <c r="AH426" i="17" s="1"/>
  <c r="AF425" i="17"/>
  <c r="AH425" i="17" s="1"/>
  <c r="AG425" i="17"/>
  <c r="AF424" i="17"/>
  <c r="AH424" i="17" s="1"/>
  <c r="AG424" i="17"/>
  <c r="AG423" i="17"/>
  <c r="AF423" i="17"/>
  <c r="AH423" i="17" s="1"/>
  <c r="AG422" i="17"/>
  <c r="AF422" i="17"/>
  <c r="AH422" i="17" s="1"/>
  <c r="AF421" i="17"/>
  <c r="AH421" i="17" s="1"/>
  <c r="AG421" i="17"/>
  <c r="AF420" i="17"/>
  <c r="AH420" i="17" s="1"/>
  <c r="AG420" i="17"/>
  <c r="AF419" i="17"/>
  <c r="AH419" i="17" s="1"/>
  <c r="AG419" i="17"/>
  <c r="AF418" i="17"/>
  <c r="AH418" i="17" s="1"/>
  <c r="AG418" i="17"/>
  <c r="AF410" i="17"/>
  <c r="AH410" i="17" s="1"/>
  <c r="AG410" i="17"/>
  <c r="AG409" i="17"/>
  <c r="AF409" i="17"/>
  <c r="AH409" i="17" s="1"/>
  <c r="AG408" i="17"/>
  <c r="AF408" i="17"/>
  <c r="AH408" i="17" s="1"/>
  <c r="AG407" i="17"/>
  <c r="AF407" i="17"/>
  <c r="AH407" i="17" s="1"/>
  <c r="AG406" i="17"/>
  <c r="AF406" i="17"/>
  <c r="AH406" i="17" s="1"/>
  <c r="AF405" i="17"/>
  <c r="AH405" i="17" s="1"/>
  <c r="AG405" i="17"/>
  <c r="AF404" i="17"/>
  <c r="AH404" i="17" s="1"/>
  <c r="AG404" i="17"/>
  <c r="AG403" i="17"/>
  <c r="AF403" i="17"/>
  <c r="AH403" i="17" s="1"/>
  <c r="AG402" i="17"/>
  <c r="AF402" i="17"/>
  <c r="AH402" i="17" s="1"/>
  <c r="AF401" i="17"/>
  <c r="AH401" i="17" s="1"/>
  <c r="AG401" i="17"/>
  <c r="AF400" i="17"/>
  <c r="AH400" i="17" s="1"/>
  <c r="AG400" i="17"/>
  <c r="AG399" i="17"/>
  <c r="AF399" i="17"/>
  <c r="AH399" i="17" s="1"/>
  <c r="AG398" i="17"/>
  <c r="AF398" i="17"/>
  <c r="AH398" i="17" s="1"/>
  <c r="AF397" i="17"/>
  <c r="AH397" i="17" s="1"/>
  <c r="AG397" i="17"/>
  <c r="AF396" i="17"/>
  <c r="AH396" i="17" s="1"/>
  <c r="AG396" i="17"/>
  <c r="AF395" i="17"/>
  <c r="AH395" i="17" s="1"/>
  <c r="AG395" i="17"/>
  <c r="AF394" i="17"/>
  <c r="AH394" i="17" s="1"/>
  <c r="AG394" i="17"/>
  <c r="AF393" i="17"/>
  <c r="AH393" i="17" s="1"/>
  <c r="AG393" i="17"/>
  <c r="AF392" i="17"/>
  <c r="AH392" i="17" s="1"/>
  <c r="AG392" i="17"/>
  <c r="AF391" i="17"/>
  <c r="AH391" i="17" s="1"/>
  <c r="AG391" i="17"/>
  <c r="AF390" i="17"/>
  <c r="AH390" i="17" s="1"/>
  <c r="AG390" i="17"/>
  <c r="AF389" i="17"/>
  <c r="AH389" i="17" s="1"/>
  <c r="AG389" i="17"/>
  <c r="AF388" i="17"/>
  <c r="AH388" i="17" s="1"/>
  <c r="AG388" i="17"/>
  <c r="AF387" i="17"/>
  <c r="AH387" i="17" s="1"/>
  <c r="AG387" i="17"/>
  <c r="AF386" i="17"/>
  <c r="AH386" i="17" s="1"/>
  <c r="AG386" i="17"/>
  <c r="AF385" i="17"/>
  <c r="AH385" i="17" s="1"/>
  <c r="AG385" i="17"/>
  <c r="AF384" i="17"/>
  <c r="AH384" i="17" s="1"/>
  <c r="AG384" i="17"/>
  <c r="AG383" i="17"/>
  <c r="AF383" i="17"/>
  <c r="AH383" i="17" s="1"/>
  <c r="AG382" i="17"/>
  <c r="AF382" i="17"/>
  <c r="AH382" i="17" s="1"/>
  <c r="AG381" i="17"/>
  <c r="AF381" i="17"/>
  <c r="AH381" i="17" s="1"/>
  <c r="AG380" i="17"/>
  <c r="AF380" i="17"/>
  <c r="AH380" i="17" s="1"/>
  <c r="AF379" i="17"/>
  <c r="AH379" i="17" s="1"/>
  <c r="AG379" i="17"/>
  <c r="AF378" i="17"/>
  <c r="AH378" i="17" s="1"/>
  <c r="AG378" i="17"/>
  <c r="AG377" i="17"/>
  <c r="AF377" i="17"/>
  <c r="AH377" i="17" s="1"/>
  <c r="AG376" i="17"/>
  <c r="AF376" i="17"/>
  <c r="AH376" i="17" s="1"/>
  <c r="AG375" i="17"/>
  <c r="AF375" i="17"/>
  <c r="AH375" i="17" s="1"/>
  <c r="AF374" i="17"/>
  <c r="AH374" i="17" s="1"/>
  <c r="AG374" i="17"/>
  <c r="AG373" i="17"/>
  <c r="AF373" i="17"/>
  <c r="AH373" i="17" s="1"/>
  <c r="AG372" i="17"/>
  <c r="AF372" i="17"/>
  <c r="AH372" i="17" s="1"/>
  <c r="AG371" i="17"/>
  <c r="AF371" i="17"/>
  <c r="AH371" i="17" s="1"/>
  <c r="AF370" i="17"/>
  <c r="AH370" i="17" s="1"/>
  <c r="AG370" i="17"/>
  <c r="AF369" i="17"/>
  <c r="AH369" i="17" s="1"/>
  <c r="AG369" i="17"/>
  <c r="AF368" i="17"/>
  <c r="AH368" i="17" s="1"/>
  <c r="AG368" i="17"/>
  <c r="AF367" i="17"/>
  <c r="AH367" i="17" s="1"/>
  <c r="AG367" i="17"/>
  <c r="AF366" i="17"/>
  <c r="AH366" i="17" s="1"/>
  <c r="AG366" i="17"/>
  <c r="AF365" i="17"/>
  <c r="AH365" i="17" s="1"/>
  <c r="AG365" i="17"/>
  <c r="AG364" i="17"/>
  <c r="AF364" i="17"/>
  <c r="AH364" i="17" s="1"/>
  <c r="AF363" i="17"/>
  <c r="AH363" i="17" s="1"/>
  <c r="AG363" i="17"/>
  <c r="AF362" i="17"/>
  <c r="AH362" i="17" s="1"/>
  <c r="AG362" i="17"/>
  <c r="AG361" i="17"/>
  <c r="AF361" i="17"/>
  <c r="AH361" i="17" s="1"/>
  <c r="AG360" i="17"/>
  <c r="AF360" i="17"/>
  <c r="AH360" i="17" s="1"/>
  <c r="AF359" i="17"/>
  <c r="AH359" i="17" s="1"/>
  <c r="AG359" i="17"/>
  <c r="AG358" i="17"/>
  <c r="AF358" i="17"/>
  <c r="AH358" i="17" s="1"/>
  <c r="AG357" i="17"/>
  <c r="AF357" i="17"/>
  <c r="AH357" i="17" s="1"/>
  <c r="AF356" i="17"/>
  <c r="AH356" i="17" s="1"/>
  <c r="AG356" i="17"/>
  <c r="AF355" i="17"/>
  <c r="AH355" i="17" s="1"/>
  <c r="AG355" i="17"/>
  <c r="AF354" i="17"/>
  <c r="AH354" i="17" s="1"/>
  <c r="AG354" i="17"/>
  <c r="AF353" i="17"/>
  <c r="AH353" i="17" s="1"/>
  <c r="AG353" i="17"/>
  <c r="AG352" i="17"/>
  <c r="AF352" i="17"/>
  <c r="AH352" i="17" s="1"/>
  <c r="AF351" i="17"/>
  <c r="AH351" i="17" s="1"/>
  <c r="AG351" i="17"/>
  <c r="AG350" i="17"/>
  <c r="AF350" i="17"/>
  <c r="AH350" i="17" s="1"/>
  <c r="AF349" i="17"/>
  <c r="AH349" i="17" s="1"/>
  <c r="AG349" i="17"/>
  <c r="AF304" i="17"/>
  <c r="AH304" i="17" s="1"/>
  <c r="AG304" i="17"/>
  <c r="AF303" i="17"/>
  <c r="AH303" i="17" s="1"/>
  <c r="AG303" i="17"/>
  <c r="AF302" i="17"/>
  <c r="AH302" i="17" s="1"/>
  <c r="AG302" i="17"/>
  <c r="AG301" i="17"/>
  <c r="AF301" i="17"/>
  <c r="AH301" i="17" s="1"/>
  <c r="AG300" i="17"/>
  <c r="AF300" i="17"/>
  <c r="AH300" i="17" s="1"/>
  <c r="AF299" i="17"/>
  <c r="AH299" i="17" s="1"/>
  <c r="AG299" i="17"/>
  <c r="AG298" i="17"/>
  <c r="AF298" i="17"/>
  <c r="AH298" i="17" s="1"/>
  <c r="AG297" i="17"/>
  <c r="AF297" i="17"/>
  <c r="AH297" i="17" s="1"/>
  <c r="AF296" i="17"/>
  <c r="AH296" i="17" s="1"/>
  <c r="AG296" i="17"/>
  <c r="AF295" i="17"/>
  <c r="AH295" i="17" s="1"/>
  <c r="AG295" i="17"/>
  <c r="AG294" i="17"/>
  <c r="AF294" i="17"/>
  <c r="AH294" i="17" s="1"/>
  <c r="AF293" i="17"/>
  <c r="AH293" i="17" s="1"/>
  <c r="AG293" i="17"/>
  <c r="AF292" i="17"/>
  <c r="AH292" i="17" s="1"/>
  <c r="AG292" i="17"/>
  <c r="AG291" i="17"/>
  <c r="AF291" i="17"/>
  <c r="AH291" i="17" s="1"/>
  <c r="AG290" i="17"/>
  <c r="AF290" i="17"/>
  <c r="AH290" i="17" s="1"/>
  <c r="AG289" i="17"/>
  <c r="AF289" i="17"/>
  <c r="AH289" i="17" s="1"/>
  <c r="AG288" i="17"/>
  <c r="AF288" i="17"/>
  <c r="AH288" i="17" s="1"/>
  <c r="AF287" i="17"/>
  <c r="AH287" i="17" s="1"/>
  <c r="AG287" i="17"/>
  <c r="AF286" i="17"/>
  <c r="AH286" i="17" s="1"/>
  <c r="AG286" i="17"/>
  <c r="AG285" i="17"/>
  <c r="AF285" i="17"/>
  <c r="AH285" i="17" s="1"/>
  <c r="AG284" i="17"/>
  <c r="AF284" i="17"/>
  <c r="AH284" i="17" s="1"/>
  <c r="AG283" i="17"/>
  <c r="AF283" i="17"/>
  <c r="AH283" i="17" s="1"/>
  <c r="AG282" i="17"/>
  <c r="AF282" i="17"/>
  <c r="AH282" i="17" s="1"/>
  <c r="AF281" i="17"/>
  <c r="AH281" i="17" s="1"/>
  <c r="AG281" i="17"/>
  <c r="AG280" i="17"/>
  <c r="AF280" i="17"/>
  <c r="AH280" i="17" s="1"/>
  <c r="AG279" i="17"/>
  <c r="AF279" i="17"/>
  <c r="AH279" i="17" s="1"/>
  <c r="AF278" i="17"/>
  <c r="AH278" i="17" s="1"/>
  <c r="AG278" i="17"/>
  <c r="AG277" i="17"/>
  <c r="AF277" i="17"/>
  <c r="AH277" i="17" s="1"/>
  <c r="AG276" i="17"/>
  <c r="AF276" i="17"/>
  <c r="AH276" i="17" s="1"/>
  <c r="AG275" i="17"/>
  <c r="AF275" i="17"/>
  <c r="AH275" i="17" s="1"/>
  <c r="AG274" i="17"/>
  <c r="AF274" i="17"/>
  <c r="AH274" i="17" s="1"/>
  <c r="AF273" i="17"/>
  <c r="AH273" i="17" s="1"/>
  <c r="AG273" i="17"/>
  <c r="AF272" i="17"/>
  <c r="AH272" i="17" s="1"/>
  <c r="AG272" i="17"/>
  <c r="AG271" i="17"/>
  <c r="AF271" i="17"/>
  <c r="AH271" i="17" s="1"/>
  <c r="AG270" i="17"/>
  <c r="AF270" i="17"/>
  <c r="AH270" i="17" s="1"/>
  <c r="AG269" i="17"/>
  <c r="AF269" i="17"/>
  <c r="AH269" i="17" s="1"/>
  <c r="AF268" i="17"/>
  <c r="AH268" i="17" s="1"/>
  <c r="AG268" i="17"/>
  <c r="AF267" i="17"/>
  <c r="AH267" i="17" s="1"/>
  <c r="AG267" i="17"/>
  <c r="AG266" i="17"/>
  <c r="AF266" i="17"/>
  <c r="AH266" i="17" s="1"/>
  <c r="AF265" i="17"/>
  <c r="AH265" i="17" s="1"/>
  <c r="AG265" i="17"/>
  <c r="AF264" i="17"/>
  <c r="AH264" i="17" s="1"/>
  <c r="AG264" i="17"/>
  <c r="AG263" i="17"/>
  <c r="AF263" i="17"/>
  <c r="AH263" i="17" s="1"/>
  <c r="AF262" i="17"/>
  <c r="AH262" i="17" s="1"/>
  <c r="AG262" i="17"/>
  <c r="AG261" i="17"/>
  <c r="AF261" i="17"/>
  <c r="AH261" i="17" s="1"/>
  <c r="AF260" i="17"/>
  <c r="AH260" i="17" s="1"/>
  <c r="AG260" i="17"/>
  <c r="AG259" i="17"/>
  <c r="AF259" i="17"/>
  <c r="AH259" i="17" s="1"/>
  <c r="AF143" i="17"/>
  <c r="AH143" i="17" s="1"/>
  <c r="AG143" i="17"/>
  <c r="AG142" i="17"/>
  <c r="AF142" i="17"/>
  <c r="AH142" i="17" s="1"/>
  <c r="AF141" i="17"/>
  <c r="AH141" i="17" s="1"/>
  <c r="AG141" i="17"/>
  <c r="AG140" i="17"/>
  <c r="AF140" i="17"/>
  <c r="AH140" i="17" s="1"/>
  <c r="AG139" i="17"/>
  <c r="AF139" i="17"/>
  <c r="AH139" i="17" s="1"/>
  <c r="AG138" i="17"/>
  <c r="AF138" i="17"/>
  <c r="AH138" i="17" s="1"/>
  <c r="AG137" i="17"/>
  <c r="AF137" i="17"/>
  <c r="AH137" i="17" s="1"/>
  <c r="AG136" i="17"/>
  <c r="AF136" i="17"/>
  <c r="AH136" i="17" s="1"/>
  <c r="AG135" i="17"/>
  <c r="AF135" i="17"/>
  <c r="AH135" i="17" s="1"/>
  <c r="AF134" i="17"/>
  <c r="AH134" i="17" s="1"/>
  <c r="AG134" i="17"/>
  <c r="AF133" i="17"/>
  <c r="AH133" i="17" s="1"/>
  <c r="AG133" i="17"/>
  <c r="AF132" i="17"/>
  <c r="AH132" i="17" s="1"/>
  <c r="AG132" i="17"/>
  <c r="AF131" i="17"/>
  <c r="AH131" i="17" s="1"/>
  <c r="AG131" i="17"/>
  <c r="AG130" i="17"/>
  <c r="AF130" i="17"/>
  <c r="AH130" i="17" s="1"/>
  <c r="AF129" i="17"/>
  <c r="AH129" i="17" s="1"/>
  <c r="AG129" i="17"/>
  <c r="AG128" i="17"/>
  <c r="AF128" i="17"/>
  <c r="AH128" i="17" s="1"/>
  <c r="AF127" i="17"/>
  <c r="AH127" i="17" s="1"/>
  <c r="AG127" i="17"/>
  <c r="AG126" i="17"/>
  <c r="AF126" i="17"/>
  <c r="AH126" i="17" s="1"/>
  <c r="AF125" i="17"/>
  <c r="AH125" i="17" s="1"/>
  <c r="AG125" i="17"/>
  <c r="AF124" i="17"/>
  <c r="AH124" i="17" s="1"/>
  <c r="AG124" i="17"/>
  <c r="AF123" i="17"/>
  <c r="AH123" i="17" s="1"/>
  <c r="AG123" i="17"/>
  <c r="AF122" i="17"/>
  <c r="AH122" i="17" s="1"/>
  <c r="AG122" i="17"/>
  <c r="AF121" i="17"/>
  <c r="AH121" i="17" s="1"/>
  <c r="AG121" i="17"/>
  <c r="AF120" i="17"/>
  <c r="AH120" i="17" s="1"/>
  <c r="AG120" i="17"/>
  <c r="AG17" i="17"/>
  <c r="AF17" i="17"/>
  <c r="AH17" i="17" s="1"/>
  <c r="AF16" i="17"/>
  <c r="AH16" i="17" s="1"/>
  <c r="AG16" i="17"/>
  <c r="AF15" i="17"/>
  <c r="AH15" i="17" s="1"/>
  <c r="AG15" i="17"/>
  <c r="AG14" i="17"/>
  <c r="AF14" i="17"/>
  <c r="AH14" i="17" s="1"/>
  <c r="AF935" i="17"/>
  <c r="AH935" i="17" s="1"/>
  <c r="AG935" i="17"/>
  <c r="AF934" i="17"/>
  <c r="AH934" i="17" s="1"/>
  <c r="AG934" i="17"/>
  <c r="AG933" i="17"/>
  <c r="AF933" i="17"/>
  <c r="AH933" i="17" s="1"/>
  <c r="AF932" i="17"/>
  <c r="AH932" i="17" s="1"/>
  <c r="AG932" i="17"/>
  <c r="AF931" i="17"/>
  <c r="AH931" i="17" s="1"/>
  <c r="AG931" i="17"/>
  <c r="AF930" i="17"/>
  <c r="AH930" i="17" s="1"/>
  <c r="AG930" i="17"/>
  <c r="AG929" i="17"/>
  <c r="AF929" i="17"/>
  <c r="AH929" i="17" s="1"/>
  <c r="AF928" i="17"/>
  <c r="AH928" i="17" s="1"/>
  <c r="AG928" i="17"/>
  <c r="AF927" i="17"/>
  <c r="AH927" i="17" s="1"/>
  <c r="AG927" i="17"/>
  <c r="AF926" i="17"/>
  <c r="AH926" i="17" s="1"/>
  <c r="AG926" i="17"/>
  <c r="AF925" i="17"/>
  <c r="AH925" i="17" s="1"/>
  <c r="AG925" i="17"/>
  <c r="AF924" i="17"/>
  <c r="AH924" i="17" s="1"/>
  <c r="AG924" i="17"/>
  <c r="AF923" i="17"/>
  <c r="AH923" i="17" s="1"/>
  <c r="AG923" i="17"/>
  <c r="AG922" i="17"/>
  <c r="AF922" i="17"/>
  <c r="AH922" i="17" s="1"/>
  <c r="AG921" i="17"/>
  <c r="AF921" i="17"/>
  <c r="AH921" i="17" s="1"/>
  <c r="AG825" i="17"/>
  <c r="AF825" i="17"/>
  <c r="AH825" i="17" s="1"/>
  <c r="AG824" i="17"/>
  <c r="AF824" i="17"/>
  <c r="AH824" i="17" s="1"/>
  <c r="AF823" i="17"/>
  <c r="AH823" i="17" s="1"/>
  <c r="AG823" i="17"/>
  <c r="AG822" i="17"/>
  <c r="AF822" i="17"/>
  <c r="AH822" i="17" s="1"/>
  <c r="AG821" i="17"/>
  <c r="AF821" i="17"/>
  <c r="AH821" i="17" s="1"/>
  <c r="AF820" i="17"/>
  <c r="AH820" i="17" s="1"/>
  <c r="AG820" i="17"/>
  <c r="AF819" i="17"/>
  <c r="AH819" i="17" s="1"/>
  <c r="AG819" i="17"/>
  <c r="AF818" i="17"/>
  <c r="AH818" i="17" s="1"/>
  <c r="AG818" i="17"/>
  <c r="AG817" i="17"/>
  <c r="AF817" i="17"/>
  <c r="AH817" i="17" s="1"/>
  <c r="AF816" i="17"/>
  <c r="AH816" i="17" s="1"/>
  <c r="AG816" i="17"/>
  <c r="AG815" i="17"/>
  <c r="AF815" i="17"/>
  <c r="AH815" i="17" s="1"/>
  <c r="AG814" i="17"/>
  <c r="AF814" i="17"/>
  <c r="AH814" i="17" s="1"/>
  <c r="AG813" i="17"/>
  <c r="AF813" i="17"/>
  <c r="AH813" i="17" s="1"/>
  <c r="AF812" i="17"/>
  <c r="AH812" i="17" s="1"/>
  <c r="AG812" i="17"/>
  <c r="AF811" i="17"/>
  <c r="AH811" i="17" s="1"/>
  <c r="AG811" i="17"/>
  <c r="AG810" i="17"/>
  <c r="AF810" i="17"/>
  <c r="AH810" i="17" s="1"/>
  <c r="AF809" i="17"/>
  <c r="AH809" i="17" s="1"/>
  <c r="AG809" i="17"/>
  <c r="AG808" i="17"/>
  <c r="AF808" i="17"/>
  <c r="AH808" i="17" s="1"/>
  <c r="AF709" i="17"/>
  <c r="AH709" i="17" s="1"/>
  <c r="AG709" i="17"/>
  <c r="AG708" i="17"/>
  <c r="AF708" i="17"/>
  <c r="AH708" i="17" s="1"/>
  <c r="AG707" i="17"/>
  <c r="AF707" i="17"/>
  <c r="AH707" i="17" s="1"/>
  <c r="AF706" i="17"/>
  <c r="AH706" i="17" s="1"/>
  <c r="AG706" i="17"/>
  <c r="AF705" i="17"/>
  <c r="AH705" i="17" s="1"/>
  <c r="AG705" i="17"/>
  <c r="AG704" i="17"/>
  <c r="AF704" i="17"/>
  <c r="AH704" i="17" s="1"/>
  <c r="AG703" i="17"/>
  <c r="AF703" i="17"/>
  <c r="AH703" i="17" s="1"/>
  <c r="AF702" i="17"/>
  <c r="AH702" i="17" s="1"/>
  <c r="AG702" i="17"/>
  <c r="AG701" i="17"/>
  <c r="AF701" i="17"/>
  <c r="AH701" i="17" s="1"/>
  <c r="AG700" i="17"/>
  <c r="AF700" i="17"/>
  <c r="AH700" i="17" s="1"/>
  <c r="AF699" i="17"/>
  <c r="AH699" i="17" s="1"/>
  <c r="AG699" i="17"/>
  <c r="AG698" i="17"/>
  <c r="AF698" i="17"/>
  <c r="AH698" i="17" s="1"/>
  <c r="AG591" i="17"/>
  <c r="AF591" i="17"/>
  <c r="AH591" i="17" s="1"/>
  <c r="AG590" i="17"/>
  <c r="AF590" i="17"/>
  <c r="AH590" i="17" s="1"/>
  <c r="AG589" i="17"/>
  <c r="AF589" i="17"/>
  <c r="AH589" i="17" s="1"/>
  <c r="AG460" i="17"/>
  <c r="AF460" i="17"/>
  <c r="AH460" i="17" s="1"/>
  <c r="AF459" i="17"/>
  <c r="AH459" i="17" s="1"/>
  <c r="AG459" i="17"/>
  <c r="AF458" i="17"/>
  <c r="AH458" i="17" s="1"/>
  <c r="AG458" i="17"/>
  <c r="AG457" i="17"/>
  <c r="AF457" i="17"/>
  <c r="AH457" i="17" s="1"/>
  <c r="AF456" i="17"/>
  <c r="AH456" i="17" s="1"/>
  <c r="AG456" i="17"/>
  <c r="AG455" i="17"/>
  <c r="AF455" i="17"/>
  <c r="AH455" i="17" s="1"/>
  <c r="AG454" i="17"/>
  <c r="AF454" i="17"/>
  <c r="AH454" i="17" s="1"/>
  <c r="AF453" i="17"/>
  <c r="AH453" i="17" s="1"/>
  <c r="AG453" i="17"/>
  <c r="AG452" i="17"/>
  <c r="AF452" i="17"/>
  <c r="AH452" i="17" s="1"/>
  <c r="AG451" i="17"/>
  <c r="AF451" i="17"/>
  <c r="AH451" i="17" s="1"/>
  <c r="AG450" i="17"/>
  <c r="AF450" i="17"/>
  <c r="AH450" i="17" s="1"/>
  <c r="AF449" i="17"/>
  <c r="AH449" i="17" s="1"/>
  <c r="AG449" i="17"/>
  <c r="AF448" i="17"/>
  <c r="AH448" i="17" s="1"/>
  <c r="AG448" i="17"/>
  <c r="AF447" i="17"/>
  <c r="AH447" i="17" s="1"/>
  <c r="AG447" i="17"/>
  <c r="AG446" i="17"/>
  <c r="AF446" i="17"/>
  <c r="AH446" i="17" s="1"/>
  <c r="AG445" i="17"/>
  <c r="AF445" i="17"/>
  <c r="AH445" i="17" s="1"/>
  <c r="AG444" i="17"/>
  <c r="AF444" i="17"/>
  <c r="AH444" i="17" s="1"/>
  <c r="AF443" i="17"/>
  <c r="AH443" i="17" s="1"/>
  <c r="AG443" i="17"/>
  <c r="AG442" i="17"/>
  <c r="AF442" i="17"/>
  <c r="AH442" i="17" s="1"/>
  <c r="AF441" i="17"/>
  <c r="AH441" i="17" s="1"/>
  <c r="AG441" i="17"/>
  <c r="AG440" i="17"/>
  <c r="AF440" i="17"/>
  <c r="AH440" i="17" s="1"/>
  <c r="AF439" i="17"/>
  <c r="AH439" i="17" s="1"/>
  <c r="AG439" i="17"/>
  <c r="AG438" i="17"/>
  <c r="AF438" i="17"/>
  <c r="AH438" i="17" s="1"/>
  <c r="AG437" i="17"/>
  <c r="AF437" i="17"/>
  <c r="AH437" i="17" s="1"/>
  <c r="AF436" i="17"/>
  <c r="AH436" i="17" s="1"/>
  <c r="AG436" i="17"/>
  <c r="AG435" i="17"/>
  <c r="AF435" i="17"/>
  <c r="AH435" i="17" s="1"/>
  <c r="AG434" i="17"/>
  <c r="AF434" i="17"/>
  <c r="AH434" i="17" s="1"/>
  <c r="AF348" i="17"/>
  <c r="AH348" i="17" s="1"/>
  <c r="AG348" i="17"/>
  <c r="AG347" i="17"/>
  <c r="AF347" i="17"/>
  <c r="AH347" i="17" s="1"/>
  <c r="AG346" i="17"/>
  <c r="AF346" i="17"/>
  <c r="AH346" i="17" s="1"/>
  <c r="AF345" i="17"/>
  <c r="AH345" i="17" s="1"/>
  <c r="AG345" i="17"/>
  <c r="AG344" i="17"/>
  <c r="AF344" i="17"/>
  <c r="AH344" i="17" s="1"/>
  <c r="AF343" i="17"/>
  <c r="AH343" i="17" s="1"/>
  <c r="AG343" i="17"/>
  <c r="AG342" i="17"/>
  <c r="AF342" i="17"/>
  <c r="AH342" i="17" s="1"/>
  <c r="AG341" i="17"/>
  <c r="AF341" i="17"/>
  <c r="AH341" i="17" s="1"/>
  <c r="AG340" i="17"/>
  <c r="AF340" i="17"/>
  <c r="AH340" i="17" s="1"/>
  <c r="AG339" i="17"/>
  <c r="AF339" i="17"/>
  <c r="AH339" i="17" s="1"/>
  <c r="AG338" i="17"/>
  <c r="AF338" i="17"/>
  <c r="AH338" i="17" s="1"/>
  <c r="AF337" i="17"/>
  <c r="AH337" i="17" s="1"/>
  <c r="AG337" i="17"/>
  <c r="AG336" i="17"/>
  <c r="AF336" i="17"/>
  <c r="AH336" i="17" s="1"/>
  <c r="AG335" i="17"/>
  <c r="AF335" i="17"/>
  <c r="AH335" i="17" s="1"/>
  <c r="AG334" i="17"/>
  <c r="AF334" i="17"/>
  <c r="AH334" i="17" s="1"/>
  <c r="AG333" i="17"/>
  <c r="AF333" i="17"/>
  <c r="AH333" i="17" s="1"/>
  <c r="AG332" i="17"/>
  <c r="AF332" i="17"/>
  <c r="AH332" i="17" s="1"/>
  <c r="AF331" i="17"/>
  <c r="AH331" i="17" s="1"/>
  <c r="AG331" i="17"/>
  <c r="AG330" i="17"/>
  <c r="AF330" i="17"/>
  <c r="AH330" i="17" s="1"/>
  <c r="AG329" i="17"/>
  <c r="AF329" i="17"/>
  <c r="AH329" i="17" s="1"/>
  <c r="AF328" i="17"/>
  <c r="AH328" i="17" s="1"/>
  <c r="AG328" i="17"/>
  <c r="AG327" i="17"/>
  <c r="AF327" i="17"/>
  <c r="AH327" i="17" s="1"/>
  <c r="AG326" i="17"/>
  <c r="AF326" i="17"/>
  <c r="AH326" i="17" s="1"/>
  <c r="AG325" i="17"/>
  <c r="AF325" i="17"/>
  <c r="AH325" i="17" s="1"/>
  <c r="AF324" i="17"/>
  <c r="AH324" i="17" s="1"/>
  <c r="AG324" i="17"/>
  <c r="AG323" i="17"/>
  <c r="AF323" i="17"/>
  <c r="AH323" i="17" s="1"/>
  <c r="AF322" i="17"/>
  <c r="AH322" i="17" s="1"/>
  <c r="AG322" i="17"/>
  <c r="AG321" i="17"/>
  <c r="AF321" i="17"/>
  <c r="AH321" i="17" s="1"/>
  <c r="AG320" i="17"/>
  <c r="AF320" i="17"/>
  <c r="AH320" i="17" s="1"/>
  <c r="AG319" i="17"/>
  <c r="AF319" i="17"/>
  <c r="AH319" i="17" s="1"/>
  <c r="AF318" i="17"/>
  <c r="AH318" i="17" s="1"/>
  <c r="AG318" i="17"/>
  <c r="AF317" i="17"/>
  <c r="AH317" i="17" s="1"/>
  <c r="AG317" i="17"/>
  <c r="AF316" i="17"/>
  <c r="AH316" i="17" s="1"/>
  <c r="AG316" i="17"/>
  <c r="AF315" i="17"/>
  <c r="AH315" i="17" s="1"/>
  <c r="AG315" i="17"/>
  <c r="AF314" i="17"/>
  <c r="AH314" i="17" s="1"/>
  <c r="AG314" i="17"/>
  <c r="AG313" i="17"/>
  <c r="AF313" i="17"/>
  <c r="AH313" i="17" s="1"/>
  <c r="AG312" i="17"/>
  <c r="AF312" i="17"/>
  <c r="AH312" i="17" s="1"/>
  <c r="AG311" i="17"/>
  <c r="AF311" i="17"/>
  <c r="AH311" i="17" s="1"/>
  <c r="AF310" i="17"/>
  <c r="AH310" i="17" s="1"/>
  <c r="AG310" i="17"/>
  <c r="AF309" i="17"/>
  <c r="AH309" i="17" s="1"/>
  <c r="AG309" i="17"/>
  <c r="AF308" i="17"/>
  <c r="AH308" i="17" s="1"/>
  <c r="AG308" i="17"/>
  <c r="AG307" i="17"/>
  <c r="AF307" i="17"/>
  <c r="AH307" i="17" s="1"/>
  <c r="AF306" i="17"/>
  <c r="AH306" i="17" s="1"/>
  <c r="AG306" i="17"/>
  <c r="AG305" i="17"/>
  <c r="AF305" i="17"/>
  <c r="AH305" i="17" s="1"/>
  <c r="AF237" i="17"/>
  <c r="AH237" i="17" s="1"/>
  <c r="AG237" i="17"/>
  <c r="AF236" i="17"/>
  <c r="AH236" i="17" s="1"/>
  <c r="AG236" i="17"/>
  <c r="AF235" i="17"/>
  <c r="AH235" i="17" s="1"/>
  <c r="AG235" i="17"/>
  <c r="AG234" i="17"/>
  <c r="AF234" i="17"/>
  <c r="AH234" i="17" s="1"/>
  <c r="AG233" i="17"/>
  <c r="AF233" i="17"/>
  <c r="AH233" i="17" s="1"/>
  <c r="AG232" i="17"/>
  <c r="AF232" i="17"/>
  <c r="AH232" i="17" s="1"/>
  <c r="AG231" i="17"/>
  <c r="AF231" i="17"/>
  <c r="AH231" i="17" s="1"/>
  <c r="AG230" i="17"/>
  <c r="AF230" i="17"/>
  <c r="AH230" i="17" s="1"/>
  <c r="AF229" i="17"/>
  <c r="AH229" i="17" s="1"/>
  <c r="AG229" i="17"/>
  <c r="AF228" i="17"/>
  <c r="AH228" i="17" s="1"/>
  <c r="AG228" i="17"/>
  <c r="AG227" i="17"/>
  <c r="AF227" i="17"/>
  <c r="AH227" i="17" s="1"/>
  <c r="AG226" i="17"/>
  <c r="AF226" i="17"/>
  <c r="AH226" i="17" s="1"/>
  <c r="AF225" i="17"/>
  <c r="AH225" i="17" s="1"/>
  <c r="AG225" i="17"/>
  <c r="AG224" i="17"/>
  <c r="AF224" i="17"/>
  <c r="AH224" i="17" s="1"/>
  <c r="AF223" i="17"/>
  <c r="AH223" i="17" s="1"/>
  <c r="AG223" i="17"/>
  <c r="AG222" i="17"/>
  <c r="AF222" i="17"/>
  <c r="AH222" i="17" s="1"/>
  <c r="AF221" i="17"/>
  <c r="AH221" i="17" s="1"/>
  <c r="AG221" i="17"/>
  <c r="AG220" i="17"/>
  <c r="AF220" i="17"/>
  <c r="AH220" i="17" s="1"/>
  <c r="AF219" i="17"/>
  <c r="AH219" i="17" s="1"/>
  <c r="AG219" i="17"/>
  <c r="AF218" i="17"/>
  <c r="AH218" i="17" s="1"/>
  <c r="AG218" i="17"/>
  <c r="AG217" i="17"/>
  <c r="AF217" i="17"/>
  <c r="AH217" i="17" s="1"/>
  <c r="AG216" i="17"/>
  <c r="AF216" i="17"/>
  <c r="AH216" i="17" s="1"/>
  <c r="AF215" i="17"/>
  <c r="AH215" i="17" s="1"/>
  <c r="AG215" i="17"/>
  <c r="AF214" i="17"/>
  <c r="AH214" i="17" s="1"/>
  <c r="AG214" i="17"/>
  <c r="AF213" i="17"/>
  <c r="AH213" i="17" s="1"/>
  <c r="AG213" i="17"/>
  <c r="AG212" i="17"/>
  <c r="AF212" i="17"/>
  <c r="AH212" i="17" s="1"/>
  <c r="AF211" i="17"/>
  <c r="AH211" i="17" s="1"/>
  <c r="AG211" i="17"/>
  <c r="AG210" i="17"/>
  <c r="AF210" i="17"/>
  <c r="AH210" i="17" s="1"/>
  <c r="AF209" i="17"/>
  <c r="AH209" i="17" s="1"/>
  <c r="AG209" i="17"/>
  <c r="AF208" i="17"/>
  <c r="AH208" i="17" s="1"/>
  <c r="AG208" i="17"/>
  <c r="AG207" i="17"/>
  <c r="AF207" i="17"/>
  <c r="AH207" i="17" s="1"/>
  <c r="AG206" i="17"/>
  <c r="AF206" i="17"/>
  <c r="AH206" i="17" s="1"/>
  <c r="AG205" i="17"/>
  <c r="AF205" i="17"/>
  <c r="AH205" i="17" s="1"/>
  <c r="AF204" i="17"/>
  <c r="AH204" i="17" s="1"/>
  <c r="AG204" i="17"/>
  <c r="AF203" i="17"/>
  <c r="AH203" i="17" s="1"/>
  <c r="AG203" i="17"/>
  <c r="AG202" i="17"/>
  <c r="AF202" i="17"/>
  <c r="AH202" i="17" s="1"/>
  <c r="AG201" i="17"/>
  <c r="AF201" i="17"/>
  <c r="AH201" i="17" s="1"/>
  <c r="AG200" i="17"/>
  <c r="AF200" i="17"/>
  <c r="AH200" i="17" s="1"/>
  <c r="AG199" i="17"/>
  <c r="AF199" i="17"/>
  <c r="AH199" i="17" s="1"/>
  <c r="AF198" i="17"/>
  <c r="AH198" i="17" s="1"/>
  <c r="AG198" i="17"/>
  <c r="AG197" i="17"/>
  <c r="AF197" i="17"/>
  <c r="AH197" i="17" s="1"/>
  <c r="AG196" i="17"/>
  <c r="AF196" i="17"/>
  <c r="AH196" i="17" s="1"/>
  <c r="AG195" i="17"/>
  <c r="AF195" i="17"/>
  <c r="AH195" i="17" s="1"/>
  <c r="AG194" i="17"/>
  <c r="AF194" i="17"/>
  <c r="AH194" i="17" s="1"/>
  <c r="AG193" i="17"/>
  <c r="AF193" i="17"/>
  <c r="AH193" i="17" s="1"/>
  <c r="AG192" i="17"/>
  <c r="AF192" i="17"/>
  <c r="AH192" i="17" s="1"/>
  <c r="AF191" i="17"/>
  <c r="AH191" i="17" s="1"/>
  <c r="AG191" i="17"/>
  <c r="AG190" i="17"/>
  <c r="AF190" i="17"/>
  <c r="AH190" i="17" s="1"/>
  <c r="AF189" i="17"/>
  <c r="AH189" i="17" s="1"/>
  <c r="AG189" i="17"/>
  <c r="AG188" i="17"/>
  <c r="AF188" i="17"/>
  <c r="AH188" i="17" s="1"/>
  <c r="AG187" i="17"/>
  <c r="AF187" i="17"/>
  <c r="AH187" i="17" s="1"/>
  <c r="AF186" i="17"/>
  <c r="AH186" i="17" s="1"/>
  <c r="AG186" i="17"/>
  <c r="AF185" i="17"/>
  <c r="AH185" i="17" s="1"/>
  <c r="AG185" i="17"/>
  <c r="AF184" i="17"/>
  <c r="AH184" i="17" s="1"/>
  <c r="AG184" i="17"/>
  <c r="AG183" i="17"/>
  <c r="AF183" i="17"/>
  <c r="AH183" i="17" s="1"/>
  <c r="AG182" i="17"/>
  <c r="AF182" i="17"/>
  <c r="AH182" i="17" s="1"/>
  <c r="AG181" i="17"/>
  <c r="AF181" i="17"/>
  <c r="AH181" i="17" s="1"/>
  <c r="AF180" i="17"/>
  <c r="AH180" i="17" s="1"/>
  <c r="AG180" i="17"/>
  <c r="AG179" i="17"/>
  <c r="AF179" i="17"/>
  <c r="AH179" i="17" s="1"/>
  <c r="AF178" i="17"/>
  <c r="AH178" i="17" s="1"/>
  <c r="AG178" i="17"/>
  <c r="AG177" i="17"/>
  <c r="AF177" i="17"/>
  <c r="AH177" i="17" s="1"/>
  <c r="AG176" i="17"/>
  <c r="AF176" i="17"/>
  <c r="AH176" i="17" s="1"/>
  <c r="AG175" i="17"/>
  <c r="AF175" i="17"/>
  <c r="AH175" i="17" s="1"/>
  <c r="AF174" i="17"/>
  <c r="AH174" i="17" s="1"/>
  <c r="AG174" i="17"/>
  <c r="AF173" i="17"/>
  <c r="AH173" i="17" s="1"/>
  <c r="AG173" i="17"/>
  <c r="AG172" i="17"/>
  <c r="AF172" i="17"/>
  <c r="AH172" i="17" s="1"/>
  <c r="AF171" i="17"/>
  <c r="AH171" i="17" s="1"/>
  <c r="AG171" i="17"/>
  <c r="AG170" i="17"/>
  <c r="AF170" i="17"/>
  <c r="AH170" i="17" s="1"/>
  <c r="AF169" i="17"/>
  <c r="AH169" i="17" s="1"/>
  <c r="AG169" i="17"/>
  <c r="AF119" i="17"/>
  <c r="AH119" i="17" s="1"/>
  <c r="AG119" i="17"/>
  <c r="AF118" i="17"/>
  <c r="AH118" i="17" s="1"/>
  <c r="AG118" i="17"/>
  <c r="AF117" i="17"/>
  <c r="AH117" i="17" s="1"/>
  <c r="AG117" i="17"/>
  <c r="AF116" i="17"/>
  <c r="AH116" i="17" s="1"/>
  <c r="AG116" i="17"/>
  <c r="AF115" i="17"/>
  <c r="AH115" i="17" s="1"/>
  <c r="AG115" i="17"/>
  <c r="AF114" i="17"/>
  <c r="AH114" i="17" s="1"/>
  <c r="AG114" i="17"/>
  <c r="AF113" i="17"/>
  <c r="AH113" i="17" s="1"/>
  <c r="AG113" i="17"/>
  <c r="AG112" i="17"/>
  <c r="AF112" i="17"/>
  <c r="AH112" i="17" s="1"/>
  <c r="AG111" i="17"/>
  <c r="AF111" i="17"/>
  <c r="AH111" i="17" s="1"/>
  <c r="AF110" i="17"/>
  <c r="AH110" i="17" s="1"/>
  <c r="AG110" i="17"/>
  <c r="AF109" i="17"/>
  <c r="AH109" i="17" s="1"/>
  <c r="AG109" i="17"/>
  <c r="AG108" i="17"/>
  <c r="AF108" i="17"/>
  <c r="AH108" i="17" s="1"/>
  <c r="AG107" i="17"/>
  <c r="AF107" i="17"/>
  <c r="AH107" i="17" s="1"/>
  <c r="AG106" i="17"/>
  <c r="AF106" i="17"/>
  <c r="AH106" i="17" s="1"/>
  <c r="AG105" i="17"/>
  <c r="AF105" i="17"/>
  <c r="AH105" i="17" s="1"/>
  <c r="AF104" i="17"/>
  <c r="AH104" i="17" s="1"/>
  <c r="AG104" i="17"/>
  <c r="AF103" i="17"/>
  <c r="AH103" i="17" s="1"/>
  <c r="AG103" i="17"/>
  <c r="AF102" i="17"/>
  <c r="AH102" i="17" s="1"/>
  <c r="AG102" i="17"/>
  <c r="AF101" i="17"/>
  <c r="AH101" i="17" s="1"/>
  <c r="AG101" i="17"/>
  <c r="AG100" i="17"/>
  <c r="AF100" i="17"/>
  <c r="AH100" i="17" s="1"/>
  <c r="AG99" i="17"/>
  <c r="AF99" i="17"/>
  <c r="AH99" i="17" s="1"/>
  <c r="AG98" i="17"/>
  <c r="AF98" i="17"/>
  <c r="AH98" i="17" s="1"/>
  <c r="AG97" i="17"/>
  <c r="AF97" i="17"/>
  <c r="AH97" i="17" s="1"/>
  <c r="AG96" i="17"/>
  <c r="AF96" i="17"/>
  <c r="AH96" i="17" s="1"/>
  <c r="AG95" i="17"/>
  <c r="AF95" i="17"/>
  <c r="AH95" i="17" s="1"/>
  <c r="AG94" i="17"/>
  <c r="AF94" i="17"/>
  <c r="AH94" i="17" s="1"/>
  <c r="AF93" i="17"/>
  <c r="AH93" i="17" s="1"/>
  <c r="AG93" i="17"/>
  <c r="AF92" i="17"/>
  <c r="AH92" i="17" s="1"/>
  <c r="AG92" i="17"/>
  <c r="AF91" i="17"/>
  <c r="AH91" i="17" s="1"/>
  <c r="AG91" i="17"/>
  <c r="AF90" i="17"/>
  <c r="AH90" i="17" s="1"/>
  <c r="AG90" i="17"/>
  <c r="AF89" i="17"/>
  <c r="AH89" i="17" s="1"/>
  <c r="AG89" i="17"/>
  <c r="AG88" i="17"/>
  <c r="AF88" i="17"/>
  <c r="AH88" i="17" s="1"/>
  <c r="AG87" i="17"/>
  <c r="AF87" i="17"/>
  <c r="AH87" i="17" s="1"/>
  <c r="AG86" i="17"/>
  <c r="AF86" i="17"/>
  <c r="AH86" i="17" s="1"/>
  <c r="AF85" i="17"/>
  <c r="AH85" i="17" s="1"/>
  <c r="AG85" i="17"/>
  <c r="AF84" i="17"/>
  <c r="AH84" i="17" s="1"/>
  <c r="AG84" i="17"/>
  <c r="AG83" i="17"/>
  <c r="AF83" i="17"/>
  <c r="AH83" i="17" s="1"/>
  <c r="AF82" i="17"/>
  <c r="AH82" i="17" s="1"/>
  <c r="AG82" i="17"/>
  <c r="AG81" i="17"/>
  <c r="AF81" i="17"/>
  <c r="AH81" i="17" s="1"/>
  <c r="AG80" i="17"/>
  <c r="AF80" i="17"/>
  <c r="AH80" i="17" s="1"/>
  <c r="AF79" i="17"/>
  <c r="AH79" i="17" s="1"/>
  <c r="AG79" i="17"/>
  <c r="AG78" i="17"/>
  <c r="AF78" i="17"/>
  <c r="AH78" i="17" s="1"/>
  <c r="AF77" i="17"/>
  <c r="AH77" i="17" s="1"/>
  <c r="AG77" i="17"/>
  <c r="AF76" i="17"/>
  <c r="AH76" i="17" s="1"/>
  <c r="AG76" i="17"/>
  <c r="AF75" i="17"/>
  <c r="AH75" i="17" s="1"/>
  <c r="AG75" i="17"/>
  <c r="AF74" i="17"/>
  <c r="AH74" i="17" s="1"/>
  <c r="AG74" i="17"/>
  <c r="AG73" i="17"/>
  <c r="AF73" i="17"/>
  <c r="AH73" i="17" s="1"/>
  <c r="AG72" i="17"/>
  <c r="AF72" i="17"/>
  <c r="AH72" i="17" s="1"/>
  <c r="AF71" i="17"/>
  <c r="AH71" i="17" s="1"/>
  <c r="AG71" i="17"/>
  <c r="AG70" i="17"/>
  <c r="AF70" i="17"/>
  <c r="AH70" i="17" s="1"/>
  <c r="AG69" i="17"/>
  <c r="AF69" i="17"/>
  <c r="AH69" i="17" s="1"/>
  <c r="AG68" i="17"/>
  <c r="AF68" i="17"/>
  <c r="AH68" i="17" s="1"/>
  <c r="AG67" i="17"/>
  <c r="AF67" i="17"/>
  <c r="AH67" i="17" s="1"/>
  <c r="AF66" i="17"/>
  <c r="AH66" i="17" s="1"/>
  <c r="AG66" i="17"/>
  <c r="AG65" i="17"/>
  <c r="AF65" i="17"/>
  <c r="AH65" i="17" s="1"/>
  <c r="AF64" i="17"/>
  <c r="AH64" i="17" s="1"/>
  <c r="AG64" i="17"/>
  <c r="AG63" i="17"/>
  <c r="AF63" i="17"/>
  <c r="AH63" i="17" s="1"/>
  <c r="AF62" i="17"/>
  <c r="AH62" i="17" s="1"/>
  <c r="AG62" i="17"/>
  <c r="AF61" i="17"/>
  <c r="AH61" i="17" s="1"/>
  <c r="AG61" i="17"/>
  <c r="AG60" i="17"/>
  <c r="AF60" i="17"/>
  <c r="AH60" i="17" s="1"/>
  <c r="AF59" i="17"/>
  <c r="AH59" i="17" s="1"/>
  <c r="AG59" i="17"/>
  <c r="AG58" i="17"/>
  <c r="AF58" i="17"/>
  <c r="AH58" i="17" s="1"/>
  <c r="AG57" i="17"/>
  <c r="AF57" i="17"/>
  <c r="AH57" i="17" s="1"/>
  <c r="AG56" i="17"/>
  <c r="AF56" i="17"/>
  <c r="AH56" i="17" s="1"/>
  <c r="AF55" i="17"/>
  <c r="AH55" i="17" s="1"/>
  <c r="AG55" i="17"/>
  <c r="AF54" i="17"/>
  <c r="AH54" i="17" s="1"/>
  <c r="AG54" i="17"/>
  <c r="C998" i="14" a="1"/>
  <c r="C945" i="14" a="1"/>
  <c r="AI944" i="17" a="1"/>
  <c r="E944" i="24" s="1"/>
  <c r="AI943" i="17" a="1"/>
  <c r="E943" i="24" s="1"/>
  <c r="C942" i="14" a="1"/>
  <c r="C941" i="14" a="1"/>
  <c r="C940" i="14" a="1"/>
  <c r="C939" i="14" a="1"/>
  <c r="AI989" i="17" a="1"/>
  <c r="E989" i="24" s="1"/>
  <c r="AI988" i="17" a="1"/>
  <c r="E988" i="24" s="1"/>
  <c r="AI986" i="17" a="1"/>
  <c r="E986" i="24" s="1"/>
  <c r="AI985" i="17" a="1"/>
  <c r="E985" i="24" s="1"/>
  <c r="AI984" i="17" a="1"/>
  <c r="E984" i="24" s="1"/>
  <c r="AI982" i="17" a="1"/>
  <c r="E982" i="24" s="1"/>
  <c r="AI981" i="17" a="1"/>
  <c r="E981" i="24" s="1"/>
  <c r="AI980" i="17" a="1"/>
  <c r="E980" i="24" s="1"/>
  <c r="AI979" i="17" a="1"/>
  <c r="E979" i="24" s="1"/>
  <c r="AI978" i="17" a="1"/>
  <c r="E978" i="24" s="1"/>
  <c r="AI970" i="17" a="1"/>
  <c r="E970" i="24" s="1"/>
  <c r="AI969" i="17" a="1"/>
  <c r="E969" i="24" s="1"/>
  <c r="AI968" i="17" a="1"/>
  <c r="E968" i="24" s="1"/>
  <c r="AI916" i="17" a="1"/>
  <c r="E916" i="24" s="1"/>
  <c r="AI915" i="17" a="1"/>
  <c r="E915" i="24" s="1"/>
  <c r="AI914" i="17" a="1"/>
  <c r="E914" i="24" s="1"/>
  <c r="AI913" i="17" a="1"/>
  <c r="E913" i="24" s="1"/>
  <c r="AI912" i="17" a="1"/>
  <c r="E912" i="24" s="1"/>
  <c r="AI999" i="17" a="1"/>
  <c r="E999" i="24" s="1"/>
  <c r="AI1000" i="17" a="1"/>
  <c r="E1000" i="24" s="1"/>
  <c r="AI919" i="17" a="1"/>
  <c r="AI917" i="17" a="1"/>
  <c r="E917" i="24" s="1"/>
  <c r="AI990" i="17" a="1"/>
  <c r="E990" i="24" s="1"/>
  <c r="AI993" i="17" a="1"/>
  <c r="E993" i="24" s="1"/>
  <c r="AI992" i="17" a="1"/>
  <c r="E992" i="24" s="1"/>
  <c r="AI991" i="17" a="1"/>
  <c r="E991" i="24" s="1"/>
  <c r="AI967" i="17" a="1"/>
  <c r="E967" i="24" s="1"/>
  <c r="AI39" i="17" a="1"/>
  <c r="E39" i="24" s="1"/>
  <c r="AI38" i="17" a="1"/>
  <c r="E38" i="24" s="1"/>
  <c r="AI37" i="17" a="1"/>
  <c r="E37" i="24" s="1"/>
  <c r="AI36" i="17" a="1"/>
  <c r="E36" i="24" s="1"/>
  <c r="AI35" i="17" a="1"/>
  <c r="E35" i="24" s="1"/>
  <c r="AI34" i="17" a="1"/>
  <c r="E34" i="24" s="1"/>
  <c r="AI32" i="17" a="1"/>
  <c r="E32" i="24" s="1"/>
  <c r="AI31" i="17" a="1"/>
  <c r="E31" i="24" s="1"/>
  <c r="AI30" i="17" a="1"/>
  <c r="E30" i="24" s="1"/>
  <c r="AI29" i="17" a="1"/>
  <c r="E29" i="24" s="1"/>
  <c r="AI28" i="17" a="1"/>
  <c r="E28" i="24" s="1"/>
  <c r="AI26" i="17" a="1"/>
  <c r="E26" i="24" s="1"/>
  <c r="AI25" i="17" a="1"/>
  <c r="E25" i="24" s="1"/>
  <c r="AI977" i="17" a="1"/>
  <c r="E977" i="24" s="1"/>
  <c r="AI887" i="17" a="1"/>
  <c r="AI24" i="17" a="1"/>
  <c r="E24" i="24" s="1"/>
  <c r="AI23" i="17" a="1"/>
  <c r="E23" i="24" s="1"/>
  <c r="AI22" i="17" a="1"/>
  <c r="E22" i="24" s="1"/>
  <c r="AI21" i="17" a="1"/>
  <c r="E21" i="24" s="1"/>
  <c r="AI20" i="17" a="1"/>
  <c r="E20" i="24" s="1"/>
  <c r="AI976" i="17" a="1"/>
  <c r="E976" i="24" s="1"/>
  <c r="AI975" i="17" a="1"/>
  <c r="AI870" i="17" a="1"/>
  <c r="AI869" i="17" a="1"/>
  <c r="E869" i="24" s="1"/>
  <c r="AI868" i="17" a="1"/>
  <c r="E868" i="24" s="1"/>
  <c r="AI867" i="17" a="1"/>
  <c r="AI866" i="17" a="1"/>
  <c r="AI865" i="17" a="1"/>
  <c r="AI790" i="17" a="1"/>
  <c r="E790" i="24" s="1"/>
  <c r="AI789" i="17" a="1"/>
  <c r="E789" i="24" s="1"/>
  <c r="AI788" i="17" a="1"/>
  <c r="E788" i="24" s="1"/>
  <c r="AI787" i="17" a="1"/>
  <c r="E787" i="24" s="1"/>
  <c r="AI557" i="17" a="1"/>
  <c r="E557" i="24" s="1"/>
  <c r="AI556" i="17" a="1"/>
  <c r="E556" i="24" s="1"/>
  <c r="AI486" i="17" a="1"/>
  <c r="E486" i="24" s="1"/>
  <c r="AI483" i="17" a="1"/>
  <c r="E483" i="24" s="1"/>
  <c r="AI482" i="17" a="1"/>
  <c r="E482" i="24" s="1"/>
  <c r="AI481" i="17" a="1"/>
  <c r="E481" i="24" s="1"/>
  <c r="AI480" i="17" a="1"/>
  <c r="E480" i="24" s="1"/>
  <c r="AI19" i="17" a="1"/>
  <c r="E19" i="24" s="1"/>
  <c r="AI18" i="17" a="1"/>
  <c r="E18" i="24" s="1"/>
  <c r="AI966" i="17" a="1"/>
  <c r="E966" i="24" s="1"/>
  <c r="AI786" i="17" a="1"/>
  <c r="E786" i="24" s="1"/>
  <c r="AI785" i="17" a="1"/>
  <c r="E785" i="24" s="1"/>
  <c r="AI555" i="17" a="1"/>
  <c r="E555" i="24" s="1"/>
  <c r="AI554" i="17" a="1"/>
  <c r="E554" i="24" s="1"/>
  <c r="AI713" i="17" a="1"/>
  <c r="E713" i="24" s="1"/>
  <c r="AI712" i="17" a="1"/>
  <c r="E712" i="24" s="1"/>
  <c r="AI13" i="17" a="1"/>
  <c r="E13" i="24" s="1"/>
  <c r="AI946" i="17" a="1"/>
  <c r="AI908" i="17" a="1"/>
  <c r="E908" i="24" s="1"/>
  <c r="AI907" i="17" a="1"/>
  <c r="AI904" i="17" a="1"/>
  <c r="AI903" i="17" a="1"/>
  <c r="E903" i="24" s="1"/>
  <c r="AI902" i="17" a="1"/>
  <c r="AI901" i="17" a="1"/>
  <c r="E901" i="24" s="1"/>
  <c r="AI900" i="17" a="1"/>
  <c r="AI899" i="17" a="1"/>
  <c r="AI897" i="17" a="1"/>
  <c r="AI890" i="17" a="1"/>
  <c r="AI889" i="17" a="1"/>
  <c r="E889" i="24" s="1"/>
  <c r="AI947" i="17" a="1"/>
  <c r="AI949" i="17" a="1"/>
  <c r="AI948" i="17" a="1"/>
  <c r="AI553" i="17" a="1"/>
  <c r="E553" i="24" s="1"/>
  <c r="AI552" i="17" a="1"/>
  <c r="E552" i="24" s="1"/>
  <c r="AI258" i="17" a="1"/>
  <c r="E258" i="24" s="1"/>
  <c r="AI257" i="17" a="1"/>
  <c r="E257" i="24" s="1"/>
  <c r="AI256" i="17" a="1"/>
  <c r="E256" i="24" s="1"/>
  <c r="AI255" i="17" a="1"/>
  <c r="E255" i="24" s="1"/>
  <c r="AI254" i="17" a="1"/>
  <c r="E254" i="24" s="1"/>
  <c r="AI253" i="17" a="1"/>
  <c r="E253" i="24" s="1"/>
  <c r="AI251" i="17" a="1"/>
  <c r="E251" i="24" s="1"/>
  <c r="AI250" i="17" a="1"/>
  <c r="E250" i="24" s="1"/>
  <c r="AI784" i="17" a="1"/>
  <c r="E784" i="24" s="1"/>
  <c r="AI782" i="17" a="1"/>
  <c r="E782" i="24" s="1"/>
  <c r="AI781" i="17" a="1"/>
  <c r="E781" i="24" s="1"/>
  <c r="AI780" i="17" a="1"/>
  <c r="E780" i="24" s="1"/>
  <c r="AI550" i="17" a="1"/>
  <c r="E550" i="24" s="1"/>
  <c r="AI549" i="17" a="1"/>
  <c r="E549" i="24" s="1"/>
  <c r="AI548" i="17" a="1"/>
  <c r="E548" i="24" s="1"/>
  <c r="AI547" i="17" a="1"/>
  <c r="E547" i="24" s="1"/>
  <c r="AI479" i="17" a="1"/>
  <c r="E479" i="24" s="1"/>
  <c r="AI478" i="17" a="1"/>
  <c r="E478" i="24" s="1"/>
  <c r="AI476" i="17" a="1"/>
  <c r="E476" i="24" s="1"/>
  <c r="AI475" i="17" a="1"/>
  <c r="E475" i="24" s="1"/>
  <c r="AI246" i="17" a="1"/>
  <c r="E246" i="24" s="1"/>
  <c r="AI245" i="17" a="1"/>
  <c r="E245" i="24" s="1"/>
  <c r="AI243" i="17" a="1"/>
  <c r="E243" i="24" s="1"/>
  <c r="AI242" i="17" a="1"/>
  <c r="E242" i="24" s="1"/>
  <c r="AI11" i="17" a="1"/>
  <c r="E11" i="24" s="1"/>
  <c r="AI711" i="17" a="1"/>
  <c r="E711" i="24" s="1"/>
  <c r="AI710" i="17" a="1"/>
  <c r="E710" i="24" s="1"/>
  <c r="AI697" i="17" a="1"/>
  <c r="E697" i="24" s="1"/>
  <c r="AI696" i="17" a="1"/>
  <c r="E696" i="24" s="1"/>
  <c r="AI489" i="17" a="1"/>
  <c r="E489" i="24" s="1"/>
  <c r="AI240" i="17" a="1"/>
  <c r="E240" i="24" s="1"/>
  <c r="AI779" i="17" a="1"/>
  <c r="E779" i="24" s="1"/>
  <c r="AI695" i="17" a="1"/>
  <c r="E695" i="24" s="1"/>
  <c r="AI694" i="17" a="1"/>
  <c r="E694" i="24" s="1"/>
  <c r="AI693" i="17" a="1"/>
  <c r="E693" i="24" s="1"/>
  <c r="AI546" i="17" a="1"/>
  <c r="E546" i="24" s="1"/>
  <c r="AI474" i="17" a="1"/>
  <c r="E474" i="24" s="1"/>
  <c r="AI472" i="17" a="1"/>
  <c r="E472" i="24" s="1"/>
  <c r="AI417" i="17" a="1"/>
  <c r="E417" i="24" s="1"/>
  <c r="AI416" i="17" a="1"/>
  <c r="E416" i="24" s="1"/>
  <c r="AI415" i="17" a="1"/>
  <c r="E415" i="24" s="1"/>
  <c r="AI8" i="17" a="1"/>
  <c r="E8" i="24" s="1"/>
  <c r="AI965" i="17" a="1"/>
  <c r="AI864" i="17" a="1"/>
  <c r="AI863" i="17" a="1"/>
  <c r="E863" i="24" s="1"/>
  <c r="AI862" i="17" a="1"/>
  <c r="AI861" i="17" a="1"/>
  <c r="AI859" i="17" a="1"/>
  <c r="E859" i="24" s="1"/>
  <c r="AI858" i="17" a="1"/>
  <c r="E858" i="24" s="1"/>
  <c r="AI857" i="17" a="1"/>
  <c r="E857" i="24" s="1"/>
  <c r="AI856" i="17" a="1"/>
  <c r="E856" i="24" s="1"/>
  <c r="AI855" i="17" a="1"/>
  <c r="E855" i="24" s="1"/>
  <c r="AI854" i="17" a="1"/>
  <c r="E854" i="24" s="1"/>
  <c r="AI853" i="17" a="1"/>
  <c r="E853" i="24" s="1"/>
  <c r="AI852" i="17" a="1"/>
  <c r="E852" i="24" s="1"/>
  <c r="AI851" i="17" a="1"/>
  <c r="E851" i="24" s="1"/>
  <c r="AI850" i="17" a="1"/>
  <c r="E850" i="24" s="1"/>
  <c r="AI848" i="17" a="1"/>
  <c r="E848" i="24" s="1"/>
  <c r="AI847" i="17" a="1"/>
  <c r="E847" i="24" s="1"/>
  <c r="AI846" i="17" a="1"/>
  <c r="E846" i="24" s="1"/>
  <c r="AI845" i="17" a="1"/>
  <c r="E845" i="24" s="1"/>
  <c r="AI778" i="17" a="1"/>
  <c r="E778" i="24" s="1"/>
  <c r="AI777" i="17" a="1"/>
  <c r="E777" i="24" s="1"/>
  <c r="AI776" i="17" a="1"/>
  <c r="E776" i="24" s="1"/>
  <c r="AI775" i="17" a="1"/>
  <c r="E775" i="24" s="1"/>
  <c r="AI471" i="17" a="1"/>
  <c r="E471" i="24" s="1"/>
  <c r="AI470" i="17" a="1"/>
  <c r="E470" i="24" s="1"/>
  <c r="AI469" i="17" a="1"/>
  <c r="E469" i="24" s="1"/>
  <c r="AI468" i="17" a="1"/>
  <c r="E468" i="24" s="1"/>
  <c r="AI467" i="17" a="1"/>
  <c r="E467" i="24" s="1"/>
  <c r="AI466" i="17" a="1"/>
  <c r="E466" i="24" s="1"/>
  <c r="AI465" i="17" a="1"/>
  <c r="E465" i="24" s="1"/>
  <c r="AI464" i="17" a="1"/>
  <c r="E464" i="24" s="1"/>
  <c r="AI463" i="17" a="1"/>
  <c r="E463" i="24" s="1"/>
  <c r="AI412" i="17" a="1"/>
  <c r="E412" i="24" s="1"/>
  <c r="AI411" i="17" a="1"/>
  <c r="E411" i="24" s="1"/>
  <c r="AI7" i="17" a="1"/>
  <c r="E7" i="24" s="1"/>
  <c r="AI5" i="17" a="1"/>
  <c r="E5" i="24" s="1"/>
  <c r="AI960" i="17" a="1"/>
  <c r="AI959" i="17" a="1"/>
  <c r="AI958" i="17" a="1"/>
  <c r="AI953" i="17" a="1"/>
  <c r="AI952" i="17" a="1"/>
  <c r="AI951" i="17" a="1"/>
  <c r="AI950" i="17" a="1"/>
  <c r="E950" i="24" s="1"/>
  <c r="AI884" i="17" a="1"/>
  <c r="AI957" i="17" a="1"/>
  <c r="AI956" i="17" a="1"/>
  <c r="AI955" i="17" a="1"/>
  <c r="AI954" i="17" a="1"/>
  <c r="AI774" i="17" a="1"/>
  <c r="E774" i="24" s="1"/>
  <c r="AI773" i="17" a="1"/>
  <c r="E773" i="24" s="1"/>
  <c r="AI772" i="17" a="1"/>
  <c r="E772" i="24" s="1"/>
  <c r="AI771" i="17" a="1"/>
  <c r="E771" i="24" s="1"/>
  <c r="AI770" i="17" a="1"/>
  <c r="E770" i="24" s="1"/>
  <c r="AI769" i="17" a="1"/>
  <c r="E769" i="24" s="1"/>
  <c r="AI768" i="17" a="1"/>
  <c r="E768" i="24" s="1"/>
  <c r="AI715" i="17" a="1"/>
  <c r="E715" i="24" s="1"/>
  <c r="AI714" i="17" a="1"/>
  <c r="E714" i="24" s="1"/>
  <c r="AI692" i="17" a="1"/>
  <c r="E692" i="24" s="1"/>
  <c r="AI691" i="17" a="1"/>
  <c r="E691" i="24" s="1"/>
  <c r="AI690" i="17" a="1"/>
  <c r="E690" i="24" s="1"/>
  <c r="AI689" i="17" a="1"/>
  <c r="E689" i="24" s="1"/>
  <c r="AI688" i="17" a="1"/>
  <c r="E688" i="24" s="1"/>
  <c r="AI687" i="17" a="1"/>
  <c r="E687" i="24" s="1"/>
  <c r="AI686" i="17" a="1"/>
  <c r="E686" i="24" s="1"/>
  <c r="AI685" i="17" a="1"/>
  <c r="E685" i="24" s="1"/>
  <c r="AI684" i="17" a="1"/>
  <c r="E684" i="24" s="1"/>
  <c r="AI683" i="17" a="1"/>
  <c r="E683" i="24" s="1"/>
  <c r="AI682" i="17" a="1"/>
  <c r="E682" i="24" s="1"/>
  <c r="AI621" i="17" a="1"/>
  <c r="E621" i="24" s="1"/>
  <c r="AI620" i="17" a="1"/>
  <c r="E620" i="24" s="1"/>
  <c r="AI545" i="17" a="1"/>
  <c r="E545" i="24" s="1"/>
  <c r="AI544" i="17" a="1"/>
  <c r="E544" i="24" s="1"/>
  <c r="AI543" i="17" a="1"/>
  <c r="E543" i="24" s="1"/>
  <c r="AI462" i="17" a="1"/>
  <c r="E462" i="24" s="1"/>
  <c r="AI461" i="17" a="1"/>
  <c r="E461" i="24" s="1"/>
  <c r="AI239" i="17" a="1"/>
  <c r="E239" i="24" s="1"/>
  <c r="AI238" i="17" a="1"/>
  <c r="E238" i="24" s="1"/>
  <c r="AI168" i="17" a="1"/>
  <c r="E168" i="24" s="1"/>
  <c r="AI166" i="17" a="1"/>
  <c r="E166" i="24" s="1"/>
  <c r="AI164" i="17" a="1"/>
  <c r="E164" i="24" s="1"/>
  <c r="AI163" i="17" a="1"/>
  <c r="E163" i="24" s="1"/>
  <c r="AI162" i="17" a="1"/>
  <c r="E162" i="24" s="1"/>
  <c r="AI161" i="17" a="1"/>
  <c r="E161" i="24" s="1"/>
  <c r="AI160" i="17" a="1"/>
  <c r="E160" i="24" s="1"/>
  <c r="AI159" i="17" a="1"/>
  <c r="E159" i="24" s="1"/>
  <c r="AI158" i="17" a="1"/>
  <c r="E158" i="24" s="1"/>
  <c r="AI157" i="17" a="1"/>
  <c r="E157" i="24" s="1"/>
  <c r="AI155" i="17" a="1"/>
  <c r="E155" i="24" s="1"/>
  <c r="AI154" i="17" a="1"/>
  <c r="E154" i="24" s="1"/>
  <c r="AI153" i="17" a="1"/>
  <c r="E153" i="24" s="1"/>
  <c r="AI152" i="17" a="1"/>
  <c r="E152" i="24" s="1"/>
  <c r="AI151" i="17" a="1"/>
  <c r="E151" i="24" s="1"/>
  <c r="AI150" i="17" a="1"/>
  <c r="E150" i="24" s="1"/>
  <c r="AI148" i="17" a="1"/>
  <c r="E148" i="24" s="1"/>
  <c r="AI53" i="17" a="1"/>
  <c r="E53" i="24" s="1"/>
  <c r="AI52" i="17" a="1"/>
  <c r="E52" i="24" s="1"/>
  <c r="AI51" i="17" a="1"/>
  <c r="E51" i="24" s="1"/>
  <c r="AI50" i="17" a="1"/>
  <c r="E50" i="24" s="1"/>
  <c r="AI49" i="17" a="1"/>
  <c r="E49" i="24" s="1"/>
  <c r="AI48" i="17" a="1"/>
  <c r="E48" i="24" s="1"/>
  <c r="AI46" i="17" a="1"/>
  <c r="E46" i="24" s="1"/>
  <c r="AI45" i="17" a="1"/>
  <c r="E45" i="24" s="1"/>
  <c r="AI44" i="17" a="1"/>
  <c r="E44" i="24" s="1"/>
  <c r="AI43" i="17" a="1"/>
  <c r="E43" i="24" s="1"/>
  <c r="AI42" i="17" a="1"/>
  <c r="E42" i="24" s="1"/>
  <c r="AI40" i="17" a="1"/>
  <c r="E40" i="24" s="1"/>
  <c r="E1029" i="14"/>
  <c r="AI920" i="17" a="1"/>
  <c r="AI880" i="17" a="1"/>
  <c r="AI877" i="17" a="1"/>
  <c r="AI876" i="17" a="1"/>
  <c r="E876" i="24" s="1"/>
  <c r="AI875" i="17" a="1"/>
  <c r="AI843" i="17" a="1"/>
  <c r="E843" i="24" s="1"/>
  <c r="AI841" i="17" a="1"/>
  <c r="E841" i="24" s="1"/>
  <c r="AI840" i="17" a="1"/>
  <c r="E840" i="24" s="1"/>
  <c r="AI839" i="17" a="1"/>
  <c r="E839" i="24" s="1"/>
  <c r="AI838" i="17" a="1"/>
  <c r="E838" i="24" s="1"/>
  <c r="AI837" i="17" a="1"/>
  <c r="E837" i="24" s="1"/>
  <c r="AI836" i="17" a="1"/>
  <c r="E836" i="24" s="1"/>
  <c r="AI835" i="17" a="1"/>
  <c r="E835" i="24" s="1"/>
  <c r="AI834" i="17" a="1"/>
  <c r="E834" i="24" s="1"/>
  <c r="AI833" i="17" a="1"/>
  <c r="E833" i="24" s="1"/>
  <c r="AI832" i="17" a="1"/>
  <c r="E832" i="24" s="1"/>
  <c r="AI827" i="17" a="1"/>
  <c r="E827" i="24" s="1"/>
  <c r="AI826" i="17" a="1"/>
  <c r="E826" i="24" s="1"/>
  <c r="AI807" i="17" a="1"/>
  <c r="E807" i="24" s="1"/>
  <c r="AI806" i="17" a="1"/>
  <c r="E806" i="24" s="1"/>
  <c r="AI805" i="17" a="1"/>
  <c r="E805" i="24" s="1"/>
  <c r="AI804" i="17" a="1"/>
  <c r="E804" i="24" s="1"/>
  <c r="AI803" i="17" a="1"/>
  <c r="E803" i="24" s="1"/>
  <c r="AI794" i="17" a="1"/>
  <c r="E794" i="24" s="1"/>
  <c r="AI793" i="17" a="1"/>
  <c r="E793" i="24" s="1"/>
  <c r="AI764" i="17" a="1"/>
  <c r="E764" i="24" s="1"/>
  <c r="AI763" i="17" a="1"/>
  <c r="E763" i="24" s="1"/>
  <c r="AI762" i="17" a="1"/>
  <c r="E762" i="24" s="1"/>
  <c r="AI761" i="17" a="1"/>
  <c r="E761" i="24" s="1"/>
  <c r="AI760" i="17" a="1"/>
  <c r="E760" i="24" s="1"/>
  <c r="AI755" i="17" a="1"/>
  <c r="E755" i="24" s="1"/>
  <c r="AI754" i="17" a="1"/>
  <c r="E754" i="24" s="1"/>
  <c r="AI753" i="17" a="1"/>
  <c r="E753" i="24" s="1"/>
  <c r="AI752" i="17" a="1"/>
  <c r="E752" i="24" s="1"/>
  <c r="AI751" i="17" a="1"/>
  <c r="E751" i="24" s="1"/>
  <c r="AI750" i="17" a="1"/>
  <c r="E750" i="24" s="1"/>
  <c r="AI749" i="17" a="1"/>
  <c r="E749" i="24" s="1"/>
  <c r="AI748" i="17" a="1"/>
  <c r="E748" i="24" s="1"/>
  <c r="AI747" i="17" a="1"/>
  <c r="E747" i="24" s="1"/>
  <c r="AI746" i="17" a="1"/>
  <c r="E746" i="24" s="1"/>
  <c r="AI745" i="17" a="1"/>
  <c r="E745" i="24" s="1"/>
  <c r="AI744" i="17" a="1"/>
  <c r="E744" i="24" s="1"/>
  <c r="AI743" i="17" a="1"/>
  <c r="E743" i="24" s="1"/>
  <c r="AI742" i="17" a="1"/>
  <c r="E742" i="24" s="1"/>
  <c r="AI741" i="17" a="1"/>
  <c r="E741" i="24" s="1"/>
  <c r="AI740" i="17" a="1"/>
  <c r="E740" i="24" s="1"/>
  <c r="AI739" i="17" a="1"/>
  <c r="E739" i="24" s="1"/>
  <c r="AI738" i="17" a="1"/>
  <c r="E738" i="24" s="1"/>
  <c r="AI737" i="17" a="1"/>
  <c r="E737" i="24" s="1"/>
  <c r="AI736" i="17" a="1"/>
  <c r="E736" i="24" s="1"/>
  <c r="AI735" i="17" a="1"/>
  <c r="E735" i="24" s="1"/>
  <c r="AI734" i="17" a="1"/>
  <c r="E734" i="24" s="1"/>
  <c r="AI733" i="17" a="1"/>
  <c r="E733" i="24" s="1"/>
  <c r="AI732" i="17" a="1"/>
  <c r="E732" i="24" s="1"/>
  <c r="AI731" i="17" a="1"/>
  <c r="E731" i="24" s="1"/>
  <c r="AI730" i="17" a="1"/>
  <c r="E730" i="24" s="1"/>
  <c r="AI729" i="17" a="1"/>
  <c r="E729" i="24" s="1"/>
  <c r="AI727" i="17" a="1"/>
  <c r="E727" i="24" s="1"/>
  <c r="AI726" i="17" a="1"/>
  <c r="E726" i="24" s="1"/>
  <c r="AI725" i="17" a="1"/>
  <c r="E725" i="24" s="1"/>
  <c r="AI724" i="17" a="1"/>
  <c r="E724" i="24" s="1"/>
  <c r="AI723" i="17" a="1"/>
  <c r="E723" i="24" s="1"/>
  <c r="AI722" i="17" a="1"/>
  <c r="E722" i="24" s="1"/>
  <c r="AI721" i="17" a="1"/>
  <c r="E721" i="24" s="1"/>
  <c r="AI720" i="17" a="1"/>
  <c r="E720" i="24" s="1"/>
  <c r="AI719" i="17" a="1"/>
  <c r="E719" i="24" s="1"/>
  <c r="AI718" i="17" a="1"/>
  <c r="E718" i="24" s="1"/>
  <c r="AI717" i="17" a="1"/>
  <c r="E717" i="24" s="1"/>
  <c r="AI716" i="17" a="1"/>
  <c r="E716" i="24" s="1"/>
  <c r="AI681" i="17" a="1"/>
  <c r="E681" i="24" s="1"/>
  <c r="AI680" i="17" a="1"/>
  <c r="E680" i="24" s="1"/>
  <c r="AI679" i="17" a="1"/>
  <c r="E679" i="24" s="1"/>
  <c r="AI678" i="17" a="1"/>
  <c r="E678" i="24" s="1"/>
  <c r="AI677" i="17" a="1"/>
  <c r="E677" i="24" s="1"/>
  <c r="AI676" i="17" a="1"/>
  <c r="E676" i="24" s="1"/>
  <c r="AI675" i="17" a="1"/>
  <c r="E675" i="24" s="1"/>
  <c r="AI674" i="17" a="1"/>
  <c r="E674" i="24" s="1"/>
  <c r="AI673" i="17" a="1"/>
  <c r="E673" i="24" s="1"/>
  <c r="AI672" i="17" a="1"/>
  <c r="E672" i="24" s="1"/>
  <c r="AI671" i="17" a="1"/>
  <c r="E671" i="24" s="1"/>
  <c r="AI670" i="17" a="1"/>
  <c r="E670" i="24" s="1"/>
  <c r="AI669" i="17" a="1"/>
  <c r="E669" i="24" s="1"/>
  <c r="AI668" i="17" a="1"/>
  <c r="E668" i="24" s="1"/>
  <c r="AI667" i="17" a="1"/>
  <c r="E667" i="24" s="1"/>
  <c r="AI666" i="17" a="1"/>
  <c r="E666" i="24" s="1"/>
  <c r="AI665" i="17" a="1"/>
  <c r="E665" i="24" s="1"/>
  <c r="AI664" i="17" a="1"/>
  <c r="E664" i="24" s="1"/>
  <c r="AI663" i="17" a="1"/>
  <c r="E663" i="24" s="1"/>
  <c r="AI662" i="17" a="1"/>
  <c r="E662" i="24" s="1"/>
  <c r="AI661" i="17" a="1"/>
  <c r="E661" i="24" s="1"/>
  <c r="AI660" i="17" a="1"/>
  <c r="E660" i="24" s="1"/>
  <c r="AI659" i="17" a="1"/>
  <c r="E659" i="24" s="1"/>
  <c r="AI658" i="17" a="1"/>
  <c r="E658" i="24" s="1"/>
  <c r="AI657" i="17" a="1"/>
  <c r="E657" i="24" s="1"/>
  <c r="AI656" i="17" a="1"/>
  <c r="E656" i="24" s="1"/>
  <c r="AI655" i="17" a="1"/>
  <c r="E655" i="24" s="1"/>
  <c r="AI567" i="17" a="1"/>
  <c r="E567" i="24" s="1"/>
  <c r="AI566" i="17" a="1"/>
  <c r="E566" i="24" s="1"/>
  <c r="AI565" i="17" a="1"/>
  <c r="E565" i="24" s="1"/>
  <c r="AI564" i="17" a="1"/>
  <c r="E564" i="24" s="1"/>
  <c r="AI562" i="17" a="1"/>
  <c r="E562" i="24" s="1"/>
  <c r="AI561" i="17" a="1"/>
  <c r="E561" i="24" s="1"/>
  <c r="AI560" i="17" a="1"/>
  <c r="E560" i="24" s="1"/>
  <c r="AI559" i="17" a="1"/>
  <c r="E559" i="24" s="1"/>
  <c r="AI558" i="17" a="1"/>
  <c r="E558" i="24" s="1"/>
  <c r="AI542" i="17" a="1"/>
  <c r="E542" i="24" s="1"/>
  <c r="AI541" i="17" a="1"/>
  <c r="E541" i="24" s="1"/>
  <c r="AI540" i="17" a="1"/>
  <c r="E540" i="24" s="1"/>
  <c r="AI537" i="17" a="1"/>
  <c r="E537" i="24" s="1"/>
  <c r="AI536" i="17" a="1"/>
  <c r="E536" i="24" s="1"/>
  <c r="AI535" i="17" a="1"/>
  <c r="E535" i="24" s="1"/>
  <c r="AI534" i="17" a="1"/>
  <c r="E534" i="24" s="1"/>
  <c r="AI533" i="17" a="1"/>
  <c r="E533" i="24" s="1"/>
  <c r="AI532" i="17" a="1"/>
  <c r="E532" i="24" s="1"/>
  <c r="AI530" i="17" a="1"/>
  <c r="E530" i="24" s="1"/>
  <c r="AI529" i="17" a="1"/>
  <c r="E529" i="24" s="1"/>
  <c r="AI528" i="17" a="1"/>
  <c r="E528" i="24" s="1"/>
  <c r="AI527" i="17" a="1"/>
  <c r="E527" i="24" s="1"/>
  <c r="AI526" i="17" a="1"/>
  <c r="E526" i="24" s="1"/>
  <c r="AI525" i="17" a="1"/>
  <c r="E525" i="24" s="1"/>
  <c r="AI524" i="17" a="1"/>
  <c r="E524" i="24" s="1"/>
  <c r="AI523" i="17" a="1"/>
  <c r="E523" i="24" s="1"/>
  <c r="AI522" i="17" a="1"/>
  <c r="E522" i="24" s="1"/>
  <c r="AI521" i="17" a="1"/>
  <c r="E521" i="24" s="1"/>
  <c r="AI520" i="17" a="1"/>
  <c r="E520" i="24" s="1"/>
  <c r="AI519" i="17" a="1"/>
  <c r="E519" i="24" s="1"/>
  <c r="AI518" i="17" a="1"/>
  <c r="E518" i="24" s="1"/>
  <c r="AI517" i="17" a="1"/>
  <c r="E517" i="24" s="1"/>
  <c r="AI516" i="17" a="1"/>
  <c r="E516" i="24" s="1"/>
  <c r="AI515" i="17" a="1"/>
  <c r="E515" i="24" s="1"/>
  <c r="AI514" i="17" a="1"/>
  <c r="E514" i="24" s="1"/>
  <c r="AI513" i="17" a="1"/>
  <c r="E513" i="24" s="1"/>
  <c r="AI512" i="17" a="1"/>
  <c r="E512" i="24" s="1"/>
  <c r="AI511" i="17" a="1"/>
  <c r="E511" i="24" s="1"/>
  <c r="AI510" i="17" a="1"/>
  <c r="E510" i="24" s="1"/>
  <c r="AI509" i="17" a="1"/>
  <c r="E509" i="24" s="1"/>
  <c r="AI508" i="17" a="1"/>
  <c r="E508" i="24" s="1"/>
  <c r="AI507" i="17" a="1"/>
  <c r="E507" i="24" s="1"/>
  <c r="AI506" i="17" a="1"/>
  <c r="E506" i="24" s="1"/>
  <c r="AI505" i="17" a="1"/>
  <c r="E505" i="24" s="1"/>
  <c r="AI501" i="17" a="1"/>
  <c r="E501" i="24" s="1"/>
  <c r="AI500" i="17" a="1"/>
  <c r="E500" i="24" s="1"/>
  <c r="AI499" i="17" a="1"/>
  <c r="E499" i="24" s="1"/>
  <c r="AI495" i="17" a="1"/>
  <c r="E495" i="24" s="1"/>
  <c r="AI494" i="17" a="1"/>
  <c r="E494" i="24" s="1"/>
  <c r="AI493" i="17" a="1"/>
  <c r="E493" i="24" s="1"/>
  <c r="AI492" i="17" a="1"/>
  <c r="E492" i="24" s="1"/>
  <c r="AI491" i="17" a="1"/>
  <c r="E491" i="24" s="1"/>
  <c r="AI433" i="17" a="1"/>
  <c r="E433" i="24" s="1"/>
  <c r="AI432" i="17" a="1"/>
  <c r="E432" i="24" s="1"/>
  <c r="AI431" i="17" a="1"/>
  <c r="E431" i="24" s="1"/>
  <c r="AI430" i="17" a="1"/>
  <c r="E430" i="24" s="1"/>
  <c r="AI429" i="17" a="1"/>
  <c r="E429" i="24" s="1"/>
  <c r="AI428" i="17" a="1"/>
  <c r="E428" i="24" s="1"/>
  <c r="AI426" i="17" a="1"/>
  <c r="E426" i="24" s="1"/>
  <c r="AI422" i="17" a="1"/>
  <c r="E422" i="24" s="1"/>
  <c r="AI421" i="17" a="1"/>
  <c r="E421" i="24" s="1"/>
  <c r="AI420" i="17" a="1"/>
  <c r="E420" i="24" s="1"/>
  <c r="AI419" i="17" a="1"/>
  <c r="E419" i="24" s="1"/>
  <c r="AI418" i="17" a="1"/>
  <c r="E418" i="24" s="1"/>
  <c r="AI410" i="17" a="1"/>
  <c r="E410" i="24" s="1"/>
  <c r="AI409" i="17" a="1"/>
  <c r="E409" i="24" s="1"/>
  <c r="AI408" i="17" a="1"/>
  <c r="E408" i="24" s="1"/>
  <c r="AI407" i="17" a="1"/>
  <c r="E407" i="24" s="1"/>
  <c r="AI406" i="17" a="1"/>
  <c r="E406" i="24" s="1"/>
  <c r="AI405" i="17" a="1"/>
  <c r="E405" i="24" s="1"/>
  <c r="AI403" i="17" a="1"/>
  <c r="E403" i="24" s="1"/>
  <c r="AI402" i="17" a="1"/>
  <c r="E402" i="24" s="1"/>
  <c r="AI401" i="17" a="1"/>
  <c r="E401" i="24" s="1"/>
  <c r="AI400" i="17" a="1"/>
  <c r="E400" i="24" s="1"/>
  <c r="AI399" i="17" a="1"/>
  <c r="E399" i="24" s="1"/>
  <c r="AI398" i="17" a="1"/>
  <c r="E398" i="24" s="1"/>
  <c r="AI397" i="17" a="1"/>
  <c r="E397" i="24" s="1"/>
  <c r="AI396" i="17" a="1"/>
  <c r="E396" i="24" s="1"/>
  <c r="AI395" i="17" a="1"/>
  <c r="E395" i="24" s="1"/>
  <c r="AI394" i="17" a="1"/>
  <c r="E394" i="24" s="1"/>
  <c r="AI393" i="17" a="1"/>
  <c r="E393" i="24" s="1"/>
  <c r="AI392" i="17" a="1"/>
  <c r="E392" i="24" s="1"/>
  <c r="AI391" i="17" a="1"/>
  <c r="E391" i="24" s="1"/>
  <c r="AI390" i="17" a="1"/>
  <c r="E390" i="24" s="1"/>
  <c r="AI389" i="17" a="1"/>
  <c r="E389" i="24" s="1"/>
  <c r="AI388" i="17" a="1"/>
  <c r="E388" i="24" s="1"/>
  <c r="AI384" i="17" a="1"/>
  <c r="E384" i="24" s="1"/>
  <c r="AI380" i="17" a="1"/>
  <c r="E380" i="24" s="1"/>
  <c r="AI379" i="17" a="1"/>
  <c r="E379" i="24" s="1"/>
  <c r="AI378" i="17" a="1"/>
  <c r="E378" i="24" s="1"/>
  <c r="AI377" i="17" a="1"/>
  <c r="E377" i="24" s="1"/>
  <c r="AI376" i="17" a="1"/>
  <c r="E376" i="24" s="1"/>
  <c r="AI375" i="17" a="1"/>
  <c r="E375" i="24" s="1"/>
  <c r="AI374" i="17" a="1"/>
  <c r="E374" i="24" s="1"/>
  <c r="AI373" i="17" a="1"/>
  <c r="E373" i="24" s="1"/>
  <c r="AI372" i="17" a="1"/>
  <c r="E372" i="24" s="1"/>
  <c r="AI370" i="17" a="1"/>
  <c r="E370" i="24" s="1"/>
  <c r="AI368" i="17" a="1"/>
  <c r="E368" i="24" s="1"/>
  <c r="AI367" i="17" a="1"/>
  <c r="E367" i="24" s="1"/>
  <c r="AI366" i="17" a="1"/>
  <c r="E366" i="24" s="1"/>
  <c r="AI365" i="17" a="1"/>
  <c r="E365" i="24" s="1"/>
  <c r="AI363" i="17" a="1"/>
  <c r="E363" i="24" s="1"/>
  <c r="AI360" i="17" a="1"/>
  <c r="E360" i="24" s="1"/>
  <c r="AI359" i="17" a="1"/>
  <c r="E359" i="24" s="1"/>
  <c r="AI357" i="17" a="1"/>
  <c r="E357" i="24" s="1"/>
  <c r="AI356" i="17" a="1"/>
  <c r="E356" i="24" s="1"/>
  <c r="AI355" i="17" a="1"/>
  <c r="E355" i="24" s="1"/>
  <c r="AI353" i="17" a="1"/>
  <c r="E353" i="24" s="1"/>
  <c r="AI352" i="17" a="1"/>
  <c r="E352" i="24" s="1"/>
  <c r="AI351" i="17" a="1"/>
  <c r="E351" i="24" s="1"/>
  <c r="AI350" i="17" a="1"/>
  <c r="E350" i="24" s="1"/>
  <c r="AI349" i="17" a="1"/>
  <c r="E349" i="24" s="1"/>
  <c r="AI304" i="17" a="1"/>
  <c r="E304" i="24" s="1"/>
  <c r="AI303" i="17" a="1"/>
  <c r="E303" i="24" s="1"/>
  <c r="AI302" i="17" a="1"/>
  <c r="E302" i="24" s="1"/>
  <c r="AI301" i="17" a="1"/>
  <c r="E301" i="24" s="1"/>
  <c r="AI300" i="17" a="1"/>
  <c r="E300" i="24" s="1"/>
  <c r="AI299" i="17" a="1"/>
  <c r="E299" i="24" s="1"/>
  <c r="AI298" i="17" a="1"/>
  <c r="E298" i="24" s="1"/>
  <c r="AI297" i="17" a="1"/>
  <c r="E297" i="24" s="1"/>
  <c r="AI296" i="17" a="1"/>
  <c r="E296" i="24" s="1"/>
  <c r="AI293" i="17" a="1"/>
  <c r="E293" i="24" s="1"/>
  <c r="AI292" i="17" a="1"/>
  <c r="E292" i="24" s="1"/>
  <c r="AI291" i="17" a="1"/>
  <c r="E291" i="24" s="1"/>
  <c r="AI288" i="17" a="1"/>
  <c r="E288" i="24" s="1"/>
  <c r="AI287" i="17" a="1"/>
  <c r="E287" i="24" s="1"/>
  <c r="AI284" i="17" a="1"/>
  <c r="E284" i="24" s="1"/>
  <c r="AI281" i="17" a="1"/>
  <c r="E281" i="24" s="1"/>
  <c r="AI280" i="17" a="1"/>
  <c r="E280" i="24" s="1"/>
  <c r="AI279" i="17" a="1"/>
  <c r="E279" i="24" s="1"/>
  <c r="AI278" i="17" a="1"/>
  <c r="E278" i="24" s="1"/>
  <c r="AI277" i="17" a="1"/>
  <c r="E277" i="24" s="1"/>
  <c r="AI273" i="17" a="1"/>
  <c r="E273" i="24" s="1"/>
  <c r="AI265" i="17" a="1"/>
  <c r="E265" i="24" s="1"/>
  <c r="AI264" i="17" a="1"/>
  <c r="E264" i="24" s="1"/>
  <c r="AI263" i="17" a="1"/>
  <c r="E263" i="24" s="1"/>
  <c r="AI262" i="17" a="1"/>
  <c r="E262" i="24" s="1"/>
  <c r="AI136" i="17" a="1"/>
  <c r="E136" i="24" s="1"/>
  <c r="AI135" i="17" a="1"/>
  <c r="E135" i="24" s="1"/>
  <c r="AI133" i="17" a="1"/>
  <c r="E133" i="24" s="1"/>
  <c r="AI131" i="17" a="1"/>
  <c r="E131" i="24" s="1"/>
  <c r="AI128" i="17" a="1"/>
  <c r="E128" i="24" s="1"/>
  <c r="AI127" i="17" a="1"/>
  <c r="E127" i="24" s="1"/>
  <c r="AI126" i="17" a="1"/>
  <c r="E126" i="24" s="1"/>
  <c r="AI124" i="17" a="1"/>
  <c r="E124" i="24" s="1"/>
  <c r="AI123" i="17" a="1"/>
  <c r="E123" i="24" s="1"/>
  <c r="AI121" i="17" a="1"/>
  <c r="E121" i="24" s="1"/>
  <c r="AI120" i="17" a="1"/>
  <c r="E120" i="24" s="1"/>
  <c r="AI15" i="17" a="1"/>
  <c r="E15" i="24" s="1"/>
  <c r="AI14" i="17" a="1"/>
  <c r="E14" i="24" s="1"/>
  <c r="AI934" i="17" a="1"/>
  <c r="E934" i="24" s="1"/>
  <c r="AI933" i="17" a="1"/>
  <c r="E933" i="24" s="1"/>
  <c r="AI927" i="17" a="1"/>
  <c r="AI926" i="17" a="1"/>
  <c r="E926" i="24" s="1"/>
  <c r="AI925" i="17" a="1"/>
  <c r="AI924" i="17" a="1"/>
  <c r="AI923" i="17" a="1"/>
  <c r="E923" i="24" s="1"/>
  <c r="AI825" i="17" a="1"/>
  <c r="E825" i="24" s="1"/>
  <c r="AI824" i="17" a="1"/>
  <c r="E824" i="24" s="1"/>
  <c r="AI820" i="17" a="1"/>
  <c r="E820" i="24" s="1"/>
  <c r="AI819" i="17" a="1"/>
  <c r="E819" i="24" s="1"/>
  <c r="AI818" i="17" a="1"/>
  <c r="E818" i="24" s="1"/>
  <c r="AI817" i="17" a="1"/>
  <c r="E817" i="24" s="1"/>
  <c r="AI816" i="17" a="1"/>
  <c r="E816" i="24" s="1"/>
  <c r="AI815" i="17" a="1"/>
  <c r="E815" i="24" s="1"/>
  <c r="AI814" i="17" a="1"/>
  <c r="E814" i="24" s="1"/>
  <c r="AI812" i="17" a="1"/>
  <c r="E812" i="24" s="1"/>
  <c r="AI811" i="17" a="1"/>
  <c r="E811" i="24" s="1"/>
  <c r="AI810" i="17" a="1"/>
  <c r="E810" i="24" s="1"/>
  <c r="AI809" i="17" a="1"/>
  <c r="E809" i="24" s="1"/>
  <c r="AI808" i="17" a="1"/>
  <c r="E808" i="24" s="1"/>
  <c r="AI709" i="17" a="1"/>
  <c r="E709" i="24" s="1"/>
  <c r="AI708" i="17" a="1"/>
  <c r="E708" i="24" s="1"/>
  <c r="AI707" i="17" a="1"/>
  <c r="E707" i="24" s="1"/>
  <c r="AI706" i="17" a="1"/>
  <c r="E706" i="24" s="1"/>
  <c r="AI705" i="17" a="1"/>
  <c r="E705" i="24" s="1"/>
  <c r="AI704" i="17" a="1"/>
  <c r="E704" i="24" s="1"/>
  <c r="AI703" i="17" a="1"/>
  <c r="E703" i="24" s="1"/>
  <c r="AI702" i="17" a="1"/>
  <c r="E702" i="24" s="1"/>
  <c r="AI701" i="17" a="1"/>
  <c r="E701" i="24" s="1"/>
  <c r="AI700" i="17" a="1"/>
  <c r="E700" i="24" s="1"/>
  <c r="AI699" i="17" a="1"/>
  <c r="E699" i="24" s="1"/>
  <c r="AI698" i="17" a="1"/>
  <c r="E698" i="24" s="1"/>
  <c r="AI460" i="17" a="1"/>
  <c r="E460" i="24" s="1"/>
  <c r="AI459" i="17" a="1"/>
  <c r="E459" i="24" s="1"/>
  <c r="AI458" i="17" a="1"/>
  <c r="E458" i="24" s="1"/>
  <c r="AI456" i="17" a="1"/>
  <c r="E456" i="24" s="1"/>
  <c r="AI455" i="17" a="1"/>
  <c r="E455" i="24" s="1"/>
  <c r="AI454" i="17" a="1"/>
  <c r="E454" i="24" s="1"/>
  <c r="AI453" i="17" a="1"/>
  <c r="E453" i="24" s="1"/>
  <c r="AI452" i="17" a="1"/>
  <c r="E452" i="24" s="1"/>
  <c r="AI451" i="17" a="1"/>
  <c r="E451" i="24" s="1"/>
  <c r="AI450" i="17" a="1"/>
  <c r="E450" i="24" s="1"/>
  <c r="AI449" i="17" a="1"/>
  <c r="E449" i="24" s="1"/>
  <c r="AI447" i="17" a="1"/>
  <c r="E447" i="24" s="1"/>
  <c r="AI446" i="17" a="1"/>
  <c r="E446" i="24" s="1"/>
  <c r="AI445" i="17" a="1"/>
  <c r="E445" i="24" s="1"/>
  <c r="AI444" i="17" a="1"/>
  <c r="E444" i="24" s="1"/>
  <c r="AI443" i="17" a="1"/>
  <c r="E443" i="24" s="1"/>
  <c r="AI442" i="17" a="1"/>
  <c r="E442" i="24" s="1"/>
  <c r="AI440" i="17" a="1"/>
  <c r="E440" i="24" s="1"/>
  <c r="AI438" i="17" a="1"/>
  <c r="E438" i="24" s="1"/>
  <c r="AI437" i="17" a="1"/>
  <c r="E437" i="24" s="1"/>
  <c r="AI436" i="17" a="1"/>
  <c r="E436" i="24" s="1"/>
  <c r="AI434" i="17" a="1"/>
  <c r="E434" i="24" s="1"/>
  <c r="AI348" i="17" a="1"/>
  <c r="E348" i="24" s="1"/>
  <c r="AI347" i="17" a="1"/>
  <c r="E347" i="24" s="1"/>
  <c r="AI346" i="17" a="1"/>
  <c r="E346" i="24" s="1"/>
  <c r="AI345" i="17" a="1"/>
  <c r="E345" i="24" s="1"/>
  <c r="AI344" i="17" a="1"/>
  <c r="E344" i="24" s="1"/>
  <c r="AI343" i="17" a="1"/>
  <c r="E343" i="24" s="1"/>
  <c r="AI342" i="17" a="1"/>
  <c r="E342" i="24" s="1"/>
  <c r="AI341" i="17" a="1"/>
  <c r="E341" i="24" s="1"/>
  <c r="AI340" i="17" a="1"/>
  <c r="E340" i="24" s="1"/>
  <c r="AI338" i="17" a="1"/>
  <c r="E338" i="24" s="1"/>
  <c r="AI337" i="17" a="1"/>
  <c r="E337" i="24" s="1"/>
  <c r="AI335" i="17" a="1"/>
  <c r="E335" i="24" s="1"/>
  <c r="AI334" i="17" a="1"/>
  <c r="E334" i="24" s="1"/>
  <c r="AI333" i="17" a="1"/>
  <c r="E333" i="24" s="1"/>
  <c r="AI332" i="17" a="1"/>
  <c r="E332" i="24" s="1"/>
  <c r="AI331" i="17" a="1"/>
  <c r="E331" i="24" s="1"/>
  <c r="AI330" i="17" a="1"/>
  <c r="E330" i="24" s="1"/>
  <c r="AI329" i="17" a="1"/>
  <c r="E329" i="24" s="1"/>
  <c r="AI328" i="17" a="1"/>
  <c r="E328" i="24" s="1"/>
  <c r="AI327" i="17" a="1"/>
  <c r="E327" i="24" s="1"/>
  <c r="AI325" i="17" a="1"/>
  <c r="E325" i="24" s="1"/>
  <c r="AI324" i="17" a="1"/>
  <c r="E324" i="24" s="1"/>
  <c r="AI323" i="17" a="1"/>
  <c r="E323" i="24" s="1"/>
  <c r="AI322" i="17" a="1"/>
  <c r="E322" i="24" s="1"/>
  <c r="AI321" i="17" a="1"/>
  <c r="E321" i="24" s="1"/>
  <c r="AI319" i="17" a="1"/>
  <c r="E319" i="24" s="1"/>
  <c r="AI318" i="17" a="1"/>
  <c r="E318" i="24" s="1"/>
  <c r="AI317" i="17" a="1"/>
  <c r="E317" i="24" s="1"/>
  <c r="AI313" i="17" a="1"/>
  <c r="E313" i="24" s="1"/>
  <c r="AI312" i="17" a="1"/>
  <c r="E312" i="24" s="1"/>
  <c r="AI311" i="17" a="1"/>
  <c r="E311" i="24" s="1"/>
  <c r="AI310" i="17" a="1"/>
  <c r="E310" i="24" s="1"/>
  <c r="AI309" i="17" a="1"/>
  <c r="E309" i="24" s="1"/>
  <c r="AI308" i="17" a="1"/>
  <c r="E308" i="24" s="1"/>
  <c r="AI307" i="17" a="1"/>
  <c r="E307" i="24" s="1"/>
  <c r="AI306" i="17" a="1"/>
  <c r="E306" i="24" s="1"/>
  <c r="AI305" i="17" a="1"/>
  <c r="E305" i="24" s="1"/>
  <c r="AI237" i="17" a="1"/>
  <c r="E237" i="24" s="1"/>
  <c r="AI236" i="17" a="1"/>
  <c r="E236" i="24" s="1"/>
  <c r="AI234" i="17" a="1"/>
  <c r="E234" i="24" s="1"/>
  <c r="AI233" i="17" a="1"/>
  <c r="E233" i="24" s="1"/>
  <c r="AI231" i="17" a="1"/>
  <c r="E231" i="24" s="1"/>
  <c r="AI230" i="17" a="1"/>
  <c r="E230" i="24" s="1"/>
  <c r="AI228" i="17" a="1"/>
  <c r="E228" i="24" s="1"/>
  <c r="AI227" i="17" a="1"/>
  <c r="E227" i="24" s="1"/>
  <c r="AI226" i="17" a="1"/>
  <c r="E226" i="24" s="1"/>
  <c r="AI225" i="17" a="1"/>
  <c r="E225" i="24" s="1"/>
  <c r="AI223" i="17" a="1"/>
  <c r="E223" i="24" s="1"/>
  <c r="AI222" i="17" a="1"/>
  <c r="E222" i="24" s="1"/>
  <c r="AI221" i="17" a="1"/>
  <c r="E221" i="24" s="1"/>
  <c r="AI217" i="17" a="1"/>
  <c r="E217" i="24" s="1"/>
  <c r="AI216" i="17" a="1"/>
  <c r="E216" i="24" s="1"/>
  <c r="AI215" i="17" a="1"/>
  <c r="E215" i="24" s="1"/>
  <c r="AI214" i="17" a="1"/>
  <c r="E214" i="24" s="1"/>
  <c r="AI213" i="17" a="1"/>
  <c r="E213" i="24" s="1"/>
  <c r="AI212" i="17" a="1"/>
  <c r="E212" i="24" s="1"/>
  <c r="AI210" i="17" a="1"/>
  <c r="E210" i="24" s="1"/>
  <c r="AI209" i="17" a="1"/>
  <c r="E209" i="24" s="1"/>
  <c r="AI208" i="17" a="1"/>
  <c r="E208" i="24" s="1"/>
  <c r="AI207" i="17" a="1"/>
  <c r="E207" i="24" s="1"/>
  <c r="AI205" i="17" a="1"/>
  <c r="E205" i="24" s="1"/>
  <c r="AI204" i="17" a="1"/>
  <c r="E204" i="24" s="1"/>
  <c r="AI202" i="17" a="1"/>
  <c r="E202" i="24" s="1"/>
  <c r="AI201" i="17" a="1"/>
  <c r="E201" i="24" s="1"/>
  <c r="AI199" i="17" a="1"/>
  <c r="E199" i="24" s="1"/>
  <c r="AI197" i="17" a="1"/>
  <c r="E197" i="24" s="1"/>
  <c r="AI195" i="17" a="1"/>
  <c r="E195" i="24" s="1"/>
  <c r="AI194" i="17" a="1"/>
  <c r="E194" i="24" s="1"/>
  <c r="AI193" i="17" a="1"/>
  <c r="E193" i="24" s="1"/>
  <c r="AI192" i="17" a="1"/>
  <c r="E192" i="24" s="1"/>
  <c r="AI191" i="17" a="1"/>
  <c r="E191" i="24" s="1"/>
  <c r="AI190" i="17" a="1"/>
  <c r="E190" i="24" s="1"/>
  <c r="AI189" i="17" a="1"/>
  <c r="E189" i="24" s="1"/>
  <c r="AI188" i="17" a="1"/>
  <c r="E188" i="24" s="1"/>
  <c r="AI187" i="17" a="1"/>
  <c r="E187" i="24" s="1"/>
  <c r="AI186" i="17" a="1"/>
  <c r="E186" i="24" s="1"/>
  <c r="AI185" i="17" a="1"/>
  <c r="E185" i="24" s="1"/>
  <c r="AI184" i="17" a="1"/>
  <c r="E184" i="24" s="1"/>
  <c r="AI183" i="17" a="1"/>
  <c r="E183" i="24" s="1"/>
  <c r="AI182" i="17" a="1"/>
  <c r="E182" i="24" s="1"/>
  <c r="AI181" i="17" a="1"/>
  <c r="E181" i="24" s="1"/>
  <c r="AI180" i="17" a="1"/>
  <c r="E180" i="24" s="1"/>
  <c r="AI179" i="17" a="1"/>
  <c r="E179" i="24" s="1"/>
  <c r="AI178" i="17" a="1"/>
  <c r="E178" i="24" s="1"/>
  <c r="AI177" i="17" a="1"/>
  <c r="E177" i="24" s="1"/>
  <c r="AI176" i="17" a="1"/>
  <c r="E176" i="24" s="1"/>
  <c r="AI175" i="17" a="1"/>
  <c r="E175" i="24" s="1"/>
  <c r="AI174" i="17" a="1"/>
  <c r="E174" i="24" s="1"/>
  <c r="AI173" i="17" a="1"/>
  <c r="E173" i="24" s="1"/>
  <c r="AI172" i="17" a="1"/>
  <c r="E172" i="24" s="1"/>
  <c r="AI171" i="17" a="1"/>
  <c r="E171" i="24" s="1"/>
  <c r="AI169" i="17" a="1"/>
  <c r="E169" i="24" s="1"/>
  <c r="AI119" i="17" a="1"/>
  <c r="E119" i="24" s="1"/>
  <c r="AI116" i="17" a="1"/>
  <c r="E116" i="24" s="1"/>
  <c r="AI115" i="17" a="1"/>
  <c r="E115" i="24" s="1"/>
  <c r="AI114" i="17" a="1"/>
  <c r="E114" i="24" s="1"/>
  <c r="AI113" i="17" a="1"/>
  <c r="E113" i="24" s="1"/>
  <c r="AI109" i="17" a="1"/>
  <c r="E109" i="24" s="1"/>
  <c r="AI108" i="17" a="1"/>
  <c r="E108" i="24" s="1"/>
  <c r="AI106" i="17" a="1"/>
  <c r="E106" i="24" s="1"/>
  <c r="AI105" i="17" a="1"/>
  <c r="E105" i="24" s="1"/>
  <c r="AI104" i="17" a="1"/>
  <c r="E104" i="24" s="1"/>
  <c r="AI102" i="17" a="1"/>
  <c r="E102" i="24" s="1"/>
  <c r="AI101" i="17" a="1"/>
  <c r="E101" i="24" s="1"/>
  <c r="AI100" i="17" a="1"/>
  <c r="E100" i="24" s="1"/>
  <c r="AI99" i="17" a="1"/>
  <c r="E99" i="24" s="1"/>
  <c r="AI98" i="17" a="1"/>
  <c r="E98" i="24" s="1"/>
  <c r="AI97" i="17" a="1"/>
  <c r="E97" i="24" s="1"/>
  <c r="AI94" i="17" a="1"/>
  <c r="E94" i="24" s="1"/>
  <c r="AI93" i="17" a="1"/>
  <c r="E93" i="24" s="1"/>
  <c r="AI92" i="17" a="1"/>
  <c r="E92" i="24" s="1"/>
  <c r="AI91" i="17" a="1"/>
  <c r="E91" i="24" s="1"/>
  <c r="AI90" i="17" a="1"/>
  <c r="E90" i="24" s="1"/>
  <c r="AI88" i="17" a="1"/>
  <c r="E88" i="24" s="1"/>
  <c r="AI87" i="17" a="1"/>
  <c r="E87" i="24" s="1"/>
  <c r="AI86" i="17" a="1"/>
  <c r="E86" i="24" s="1"/>
  <c r="AI85" i="17" a="1"/>
  <c r="E85" i="24" s="1"/>
  <c r="AI84" i="17" a="1"/>
  <c r="E84" i="24" s="1"/>
  <c r="AI83" i="17" a="1"/>
  <c r="E83" i="24" s="1"/>
  <c r="AI82" i="17" a="1"/>
  <c r="E82" i="24" s="1"/>
  <c r="AI81" i="17" a="1"/>
  <c r="E81" i="24" s="1"/>
  <c r="AI80" i="17" a="1"/>
  <c r="E80" i="24" s="1"/>
  <c r="AI79" i="17" a="1"/>
  <c r="E79" i="24" s="1"/>
  <c r="AI78" i="17" a="1"/>
  <c r="E78" i="24" s="1"/>
  <c r="AI76" i="17" a="1"/>
  <c r="E76" i="24" s="1"/>
  <c r="AI75" i="17" a="1"/>
  <c r="E75" i="24" s="1"/>
  <c r="AI74" i="17" a="1"/>
  <c r="E74" i="24" s="1"/>
  <c r="AI73" i="17" a="1"/>
  <c r="E73" i="24" s="1"/>
  <c r="AI72" i="17" a="1"/>
  <c r="E72" i="24" s="1"/>
  <c r="AI71" i="17" a="1"/>
  <c r="E71" i="24" s="1"/>
  <c r="AI70" i="17" a="1"/>
  <c r="E70" i="24" s="1"/>
  <c r="AI69" i="17" a="1"/>
  <c r="E69" i="24" s="1"/>
  <c r="AI68" i="17" a="1"/>
  <c r="E68" i="24" s="1"/>
  <c r="AI67" i="17" a="1"/>
  <c r="E67" i="24" s="1"/>
  <c r="AI66" i="17" a="1"/>
  <c r="E66" i="24" s="1"/>
  <c r="AI65" i="17" a="1"/>
  <c r="E65" i="24" s="1"/>
  <c r="AI64" i="17" a="1"/>
  <c r="E64" i="24" s="1"/>
  <c r="AI63" i="17" a="1"/>
  <c r="E63" i="24" s="1"/>
  <c r="AI62" i="17" a="1"/>
  <c r="E62" i="24" s="1"/>
  <c r="AI61" i="17" a="1"/>
  <c r="E61" i="24" s="1"/>
  <c r="AI60" i="17" a="1"/>
  <c r="E60" i="24" s="1"/>
  <c r="AI59" i="17" a="1"/>
  <c r="E59" i="24" s="1"/>
  <c r="AI58" i="17" a="1"/>
  <c r="E58" i="24" s="1"/>
  <c r="AI57" i="17" a="1"/>
  <c r="E57" i="24" s="1"/>
  <c r="AI56" i="17" a="1"/>
  <c r="E56" i="24" s="1"/>
  <c r="AI55" i="17" a="1"/>
  <c r="E55" i="24" s="1"/>
  <c r="M282" i="14"/>
  <c r="M1036" i="14"/>
  <c r="E1036" i="24"/>
  <c r="E1037" i="24"/>
  <c r="AI1017" i="17" a="1"/>
  <c r="E1017" i="24" s="1"/>
  <c r="C1017" i="14" a="1"/>
  <c r="M286" i="14"/>
  <c r="M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M1033" i="14"/>
  <c r="M1034" i="14"/>
  <c r="L1030" i="24"/>
  <c r="H1030" i="24"/>
  <c r="I1030" i="24"/>
  <c r="M1030" i="24"/>
  <c r="G1030" i="24"/>
  <c r="K1030" i="24"/>
  <c r="N1030" i="24"/>
  <c r="O1030" i="24"/>
  <c r="J1030" i="24"/>
  <c r="AI910" i="17" a="1"/>
  <c r="E910" i="24" s="1"/>
  <c r="M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AI801" i="17" a="1"/>
  <c r="E801" i="24" s="1"/>
  <c r="M754" i="14"/>
  <c r="M1030" i="14"/>
  <c r="AI314" i="17" a="1"/>
  <c r="E314" i="24" s="1"/>
  <c r="AI911" i="17" a="1"/>
  <c r="E911" i="24" s="1"/>
  <c r="C997" i="14" a="1"/>
  <c r="M1023" i="14"/>
  <c r="M1022" i="14"/>
  <c r="AI802" i="17" a="1"/>
  <c r="E802" i="24" s="1"/>
  <c r="AI799" i="17" a="1"/>
  <c r="E799" i="24" s="1"/>
  <c r="M742" i="14"/>
  <c r="M1024" i="14"/>
  <c r="AI800" i="17" a="1"/>
  <c r="E800" i="24" s="1"/>
  <c r="AI798" i="17" a="1"/>
  <c r="E798" i="24" s="1"/>
  <c r="M1021" i="14"/>
  <c r="H1021" i="24"/>
  <c r="L1021" i="24"/>
  <c r="G1021" i="24"/>
  <c r="I1021" i="24"/>
  <c r="J1021" i="24"/>
  <c r="K1021" i="24"/>
  <c r="M1021" i="24"/>
  <c r="N1021" i="24"/>
  <c r="O1021" i="24"/>
  <c r="AI728" i="17" a="1"/>
  <c r="E728" i="24" s="1"/>
  <c r="AI1021" i="17" a="1"/>
  <c r="E1021" i="24" s="1"/>
  <c r="M728" i="14"/>
  <c r="M740" i="14"/>
  <c r="H1020" i="24"/>
  <c r="I1020" i="24"/>
  <c r="K1020" i="24"/>
  <c r="L1020" i="24"/>
  <c r="N1020" i="24"/>
  <c r="O1020" i="24"/>
  <c r="G1020" i="24"/>
  <c r="J1020" i="24"/>
  <c r="M1020" i="24"/>
  <c r="AI797" i="17" a="1"/>
  <c r="E797" i="24" s="1"/>
  <c r="N1019" i="24"/>
  <c r="O1019" i="24"/>
  <c r="L1019" i="24"/>
  <c r="I1019" i="24"/>
  <c r="G1019" i="24"/>
  <c r="J1019" i="24"/>
  <c r="K1019" i="24"/>
  <c r="M1019" i="24"/>
  <c r="H1019" i="24"/>
  <c r="AI767" i="17" a="1"/>
  <c r="E767" i="24" s="1"/>
  <c r="AI354" i="17" a="1"/>
  <c r="E354" i="24" s="1"/>
  <c r="AI290" i="17" a="1"/>
  <c r="E290" i="24" s="1"/>
  <c r="G1018" i="24"/>
  <c r="J1018" i="24"/>
  <c r="K1018" i="24"/>
  <c r="M1018" i="24"/>
  <c r="O1018" i="24"/>
  <c r="H1018" i="24"/>
  <c r="I1018" i="24"/>
  <c r="L1018" i="24"/>
  <c r="N1018" i="24"/>
  <c r="AI364" i="17" a="1"/>
  <c r="E364" i="24" s="1"/>
  <c r="AI601" i="17" a="1"/>
  <c r="E601" i="24" s="1"/>
  <c r="AI599" i="17" a="1"/>
  <c r="E599" i="24" s="1"/>
  <c r="AI602" i="17" a="1"/>
  <c r="E602" i="24" s="1"/>
  <c r="AI563" i="17" a="1"/>
  <c r="E563" i="24" s="1"/>
  <c r="AI531" i="17" a="1"/>
  <c r="E531" i="24" s="1"/>
  <c r="AI624" i="17" a="1"/>
  <c r="E624" i="24" s="1"/>
  <c r="AI796" i="17" a="1"/>
  <c r="E796" i="24" s="1"/>
  <c r="AI765" i="17" a="1"/>
  <c r="E765" i="24" s="1"/>
  <c r="AI759" i="17" a="1"/>
  <c r="E759" i="24" s="1"/>
  <c r="AI758" i="17" a="1"/>
  <c r="E758" i="24" s="1"/>
  <c r="AI361" i="17" a="1"/>
  <c r="E361" i="24" s="1"/>
  <c r="AI358" i="17" a="1"/>
  <c r="E358" i="24" s="1"/>
  <c r="AI294" i="17" a="1"/>
  <c r="E294" i="24" s="1"/>
  <c r="AI289" i="17" a="1"/>
  <c r="E289" i="24" s="1"/>
  <c r="AI1013" i="17" a="1"/>
  <c r="E1013" i="24" s="1"/>
  <c r="AI1015" i="17" a="1"/>
  <c r="E1015" i="24" s="1"/>
  <c r="AI829" i="17" a="1"/>
  <c r="E829" i="24" s="1"/>
  <c r="AI828" i="17" a="1"/>
  <c r="E828" i="24" s="1"/>
  <c r="AI766" i="17" a="1"/>
  <c r="E766" i="24" s="1"/>
  <c r="AI362" i="17" a="1"/>
  <c r="E362" i="24" s="1"/>
  <c r="C1013" i="14" a="1"/>
  <c r="AI1014" i="17" a="1"/>
  <c r="E1014" i="24" s="1"/>
  <c r="C1014" i="14" a="1"/>
  <c r="C1015" i="14" a="1"/>
  <c r="AI844" i="17" a="1"/>
  <c r="E844" i="24" s="1"/>
  <c r="AI336" i="17" a="1"/>
  <c r="E336" i="24" s="1"/>
  <c r="AI757" i="17" a="1"/>
  <c r="E757" i="24" s="1"/>
  <c r="AI224" i="17" a="1"/>
  <c r="E224" i="24" s="1"/>
  <c r="AI235" i="17" a="1"/>
  <c r="E235" i="24" s="1"/>
  <c r="AI229" i="17" a="1"/>
  <c r="E229" i="24" s="1"/>
  <c r="AI232" i="17" a="1"/>
  <c r="E232" i="24" s="1"/>
  <c r="AI219" i="17" a="1"/>
  <c r="E219" i="24" s="1"/>
  <c r="AI326" i="17" a="1"/>
  <c r="E326" i="24" s="1"/>
  <c r="AI435" i="17" a="1"/>
  <c r="E435" i="24" s="1"/>
  <c r="AI441" i="17" a="1"/>
  <c r="E441" i="24" s="1"/>
  <c r="AI339" i="17" a="1"/>
  <c r="E339" i="24" s="1"/>
  <c r="AI220" i="17" a="1"/>
  <c r="E220" i="24" s="1"/>
  <c r="AI218" i="17" a="1"/>
  <c r="E218" i="24" s="1"/>
  <c r="AI996" i="17" a="1"/>
  <c r="E996" i="24" s="1"/>
  <c r="C996" i="14" a="1"/>
  <c r="AI413" i="17" a="1"/>
  <c r="E413" i="24" s="1"/>
  <c r="AI286" i="17" a="1"/>
  <c r="E286" i="24" s="1"/>
  <c r="AI285" i="17" a="1"/>
  <c r="E285" i="24" s="1"/>
  <c r="AI283" i="17" a="1"/>
  <c r="E283" i="24" s="1"/>
  <c r="AI282" i="17" a="1"/>
  <c r="E282" i="24" s="1"/>
  <c r="AI795" i="17" a="1"/>
  <c r="E795" i="24" s="1"/>
  <c r="AI756" i="17" a="1"/>
  <c r="E756" i="24" s="1"/>
  <c r="AI439" i="17" a="1"/>
  <c r="E439" i="24" s="1"/>
  <c r="AI371" i="17" a="1"/>
  <c r="E371" i="24" s="1"/>
  <c r="AI369" i="17" a="1"/>
  <c r="E369" i="24" s="1"/>
  <c r="AI539" i="17" a="1"/>
  <c r="E539" i="24" s="1"/>
  <c r="AI538" i="17" a="1"/>
  <c r="E538" i="24" s="1"/>
  <c r="AI404" i="17" a="1"/>
  <c r="E404" i="24" s="1"/>
  <c r="AI383" i="17" a="1"/>
  <c r="E383" i="24" s="1"/>
  <c r="AI382" i="17" a="1"/>
  <c r="E382" i="24" s="1"/>
  <c r="AI381" i="17" a="1"/>
  <c r="E381" i="24" s="1"/>
  <c r="AI244" i="17" a="1"/>
  <c r="E244" i="24" s="1"/>
  <c r="AI241" i="17" a="1"/>
  <c r="E241" i="24" s="1"/>
  <c r="AI9" i="17" a="1"/>
  <c r="E9" i="24" s="1"/>
  <c r="AI47" i="17" a="1"/>
  <c r="E47" i="24" s="1"/>
  <c r="AI41" i="17" a="1"/>
  <c r="E41" i="24" s="1"/>
  <c r="AI4" i="17" a="1"/>
  <c r="E4" i="24" s="1"/>
  <c r="AI606" i="17" a="1"/>
  <c r="E606" i="24" s="1"/>
  <c r="AI605" i="17" a="1"/>
  <c r="E605" i="24" s="1"/>
  <c r="AI603" i="17" a="1"/>
  <c r="E603" i="24" s="1"/>
  <c r="AI600" i="17" a="1"/>
  <c r="E600" i="24" s="1"/>
  <c r="AI598" i="17" a="1"/>
  <c r="E598" i="24" s="1"/>
  <c r="AI597" i="17" a="1"/>
  <c r="E597" i="24" s="1"/>
  <c r="AI596" i="17" a="1"/>
  <c r="E596" i="24" s="1"/>
  <c r="AI593" i="17" a="1"/>
  <c r="E593" i="24" s="1"/>
  <c r="AI592" i="17" a="1"/>
  <c r="E592" i="24" s="1"/>
  <c r="AI588" i="17" a="1"/>
  <c r="E588" i="24" s="1"/>
  <c r="AI587" i="17" a="1"/>
  <c r="E587" i="24" s="1"/>
  <c r="AI586" i="17" a="1"/>
  <c r="E586" i="24" s="1"/>
  <c r="AI585" i="17" a="1"/>
  <c r="E585" i="24" s="1"/>
  <c r="AI584" i="17" a="1"/>
  <c r="E584" i="24" s="1"/>
  <c r="AI583" i="17" a="1"/>
  <c r="E583" i="24" s="1"/>
  <c r="AI582" i="17" a="1"/>
  <c r="E582" i="24" s="1"/>
  <c r="AI581" i="17" a="1"/>
  <c r="E581" i="24" s="1"/>
  <c r="AI580" i="17" a="1"/>
  <c r="E580" i="24" s="1"/>
  <c r="AI579" i="17" a="1"/>
  <c r="E579" i="24" s="1"/>
  <c r="AI578" i="17" a="1"/>
  <c r="E578" i="24" s="1"/>
  <c r="AI577" i="17" a="1"/>
  <c r="E577" i="24" s="1"/>
  <c r="AI576" i="17" a="1"/>
  <c r="E576" i="24" s="1"/>
  <c r="AI575" i="17" a="1"/>
  <c r="E575" i="24" s="1"/>
  <c r="AI574" i="17" a="1"/>
  <c r="E574" i="24" s="1"/>
  <c r="AI573" i="17" a="1"/>
  <c r="E573" i="24" s="1"/>
  <c r="AI572" i="17" a="1"/>
  <c r="E572" i="24" s="1"/>
  <c r="AI571" i="17" a="1"/>
  <c r="E571" i="24" s="1"/>
  <c r="AI570" i="17" a="1"/>
  <c r="E570" i="24" s="1"/>
  <c r="AI569" i="17" a="1"/>
  <c r="E569" i="24" s="1"/>
  <c r="AI568" i="17" a="1"/>
  <c r="E568" i="24" s="1"/>
  <c r="AI385" i="17" a="1"/>
  <c r="E385" i="24" s="1"/>
  <c r="AI551" i="17" a="1"/>
  <c r="E551" i="24" s="1"/>
  <c r="AI617" i="17" a="1"/>
  <c r="E617" i="24" s="1"/>
  <c r="AI146" i="17" a="1"/>
  <c r="E146" i="24" s="1"/>
  <c r="AI144" i="17" a="1"/>
  <c r="E144" i="24" s="1"/>
  <c r="AI871" i="17" a="1"/>
  <c r="AI842" i="17" a="1"/>
  <c r="E842" i="24" s="1"/>
  <c r="AI831" i="17" a="1"/>
  <c r="E831" i="24" s="1"/>
  <c r="AI830" i="17" a="1"/>
  <c r="E830" i="24" s="1"/>
  <c r="AI615" i="17" a="1"/>
  <c r="E615" i="24" s="1"/>
  <c r="AI612" i="17" a="1"/>
  <c r="E612" i="24" s="1"/>
  <c r="AI611" i="17" a="1"/>
  <c r="E611" i="24" s="1"/>
  <c r="AI610" i="17" a="1"/>
  <c r="E610" i="24" s="1"/>
  <c r="AI609" i="17" a="1"/>
  <c r="E609" i="24" s="1"/>
  <c r="AI608" i="17" a="1"/>
  <c r="E608" i="24" s="1"/>
  <c r="AI607" i="17" a="1"/>
  <c r="E607" i="24" s="1"/>
  <c r="AI604" i="17" a="1"/>
  <c r="E604" i="24" s="1"/>
  <c r="AI595" i="17" a="1"/>
  <c r="E595" i="24" s="1"/>
  <c r="AI594" i="17" a="1"/>
  <c r="E594" i="24" s="1"/>
  <c r="AI387" i="17" a="1"/>
  <c r="E387" i="24" s="1"/>
  <c r="AI386" i="17" a="1"/>
  <c r="E386" i="24" s="1"/>
  <c r="AI964" i="17" a="1"/>
  <c r="AI167" i="17" a="1"/>
  <c r="E167" i="24" s="1"/>
  <c r="AI165" i="17" a="1"/>
  <c r="E165" i="24" s="1"/>
  <c r="AI156" i="17" a="1"/>
  <c r="E156" i="24" s="1"/>
  <c r="AI879" i="17" a="1"/>
  <c r="AI878" i="17" a="1"/>
  <c r="AI874" i="17" a="1"/>
  <c r="AI873" i="17" a="1"/>
  <c r="E873" i="24" s="1"/>
  <c r="AI872" i="17" a="1"/>
  <c r="AI648" i="17" a="1"/>
  <c r="E648" i="24" s="1"/>
  <c r="AI647" i="17" a="1"/>
  <c r="E647" i="24" s="1"/>
  <c r="AI646" i="17" a="1"/>
  <c r="E646" i="24" s="1"/>
  <c r="AI645" i="17" a="1"/>
  <c r="E645" i="24" s="1"/>
  <c r="AI644" i="17" a="1"/>
  <c r="E644" i="24" s="1"/>
  <c r="AI643" i="17" a="1"/>
  <c r="E643" i="24" s="1"/>
  <c r="AI642" i="17" a="1"/>
  <c r="E642" i="24" s="1"/>
  <c r="AI641" i="17" a="1"/>
  <c r="E641" i="24" s="1"/>
  <c r="AI640" i="17" a="1"/>
  <c r="E640" i="24" s="1"/>
  <c r="AI639" i="17" a="1"/>
  <c r="E639" i="24" s="1"/>
  <c r="AI638" i="17" a="1"/>
  <c r="E638" i="24" s="1"/>
  <c r="AI637" i="17" a="1"/>
  <c r="E637" i="24" s="1"/>
  <c r="AI636" i="17" a="1"/>
  <c r="E636" i="24" s="1"/>
  <c r="AI635" i="17" a="1"/>
  <c r="E635" i="24" s="1"/>
  <c r="AI614" i="17" a="1"/>
  <c r="E614" i="24" s="1"/>
  <c r="AI613" i="17" a="1"/>
  <c r="E613" i="24" s="1"/>
  <c r="AI427" i="17" a="1"/>
  <c r="E427" i="24" s="1"/>
  <c r="AI423" i="17" a="1"/>
  <c r="E423" i="24" s="1"/>
  <c r="AI448" i="17" a="1"/>
  <c r="E448" i="24" s="1"/>
  <c r="AI971" i="17" a="1"/>
  <c r="AI974" i="17" a="1"/>
  <c r="AI487" i="17" a="1"/>
  <c r="E487" i="24" s="1"/>
  <c r="AI247" i="17" a="1"/>
  <c r="E247" i="24" s="1"/>
  <c r="AI939" i="17" a="1"/>
  <c r="E939" i="24" s="1"/>
  <c r="AI792" i="17" a="1"/>
  <c r="E792" i="24" s="1"/>
  <c r="AI252" i="17" a="1"/>
  <c r="E252" i="24" s="1"/>
  <c r="AI414" i="17" a="1"/>
  <c r="E414" i="24" s="1"/>
  <c r="AI963" i="17" a="1"/>
  <c r="AI619" i="17" a="1"/>
  <c r="E619" i="24" s="1"/>
  <c r="AI983" i="17" a="1"/>
  <c r="E983" i="24" s="1"/>
  <c r="AI918" i="17" a="1"/>
  <c r="E918" i="24" s="1"/>
  <c r="AI485" i="17" a="1"/>
  <c r="E485" i="24" s="1"/>
  <c r="AI909" i="17" a="1"/>
  <c r="AI490" i="17" a="1"/>
  <c r="E490" i="24" s="1"/>
  <c r="AI10" i="17" a="1"/>
  <c r="E10" i="24" s="1"/>
  <c r="AI6" i="17" a="1"/>
  <c r="E6" i="24" s="1"/>
  <c r="AI33" i="17" a="1"/>
  <c r="E33" i="24" s="1"/>
  <c r="AI27" i="17" a="1"/>
  <c r="E27" i="24" s="1"/>
  <c r="AI484" i="17" a="1"/>
  <c r="E484" i="24" s="1"/>
  <c r="AI905" i="17" a="1"/>
  <c r="AI898" i="17" a="1"/>
  <c r="AI895" i="17" a="1"/>
  <c r="E895" i="24" s="1"/>
  <c r="AI894" i="17" a="1"/>
  <c r="E894" i="24" s="1"/>
  <c r="AI893" i="17" a="1"/>
  <c r="AI892" i="17" a="1"/>
  <c r="E892" i="24" s="1"/>
  <c r="AI891" i="17" a="1"/>
  <c r="AI473" i="17" a="1"/>
  <c r="E473" i="24" s="1"/>
  <c r="AI634" i="17" a="1"/>
  <c r="E634" i="24" s="1"/>
  <c r="AI633" i="17" a="1"/>
  <c r="E633" i="24" s="1"/>
  <c r="AI632" i="17" a="1"/>
  <c r="E632" i="24" s="1"/>
  <c r="AI631" i="17" a="1"/>
  <c r="E631" i="24" s="1"/>
  <c r="AI630" i="17" a="1"/>
  <c r="E630" i="24" s="1"/>
  <c r="AI629" i="17" a="1"/>
  <c r="E629" i="24" s="1"/>
  <c r="AI628" i="17" a="1"/>
  <c r="E628" i="24" s="1"/>
  <c r="AI627" i="17" a="1"/>
  <c r="E627" i="24" s="1"/>
  <c r="AI626" i="17" a="1"/>
  <c r="E626" i="24" s="1"/>
  <c r="AI625" i="17" a="1"/>
  <c r="E625" i="24" s="1"/>
  <c r="AI623" i="17" a="1"/>
  <c r="E623" i="24" s="1"/>
  <c r="AI622" i="17" a="1"/>
  <c r="E622" i="24" s="1"/>
  <c r="AI883" i="17" a="1"/>
  <c r="AI882" i="17" a="1"/>
  <c r="AI881" i="17" a="1"/>
  <c r="AI504" i="17" a="1"/>
  <c r="E504" i="24" s="1"/>
  <c r="AI503" i="17" a="1"/>
  <c r="E503" i="24" s="1"/>
  <c r="AI502" i="17" a="1"/>
  <c r="E502" i="24" s="1"/>
  <c r="AI498" i="17" a="1"/>
  <c r="E498" i="24" s="1"/>
  <c r="AI497" i="17" a="1"/>
  <c r="E497" i="24" s="1"/>
  <c r="AI496" i="17" a="1"/>
  <c r="E496" i="24" s="1"/>
  <c r="AI425" i="17" a="1"/>
  <c r="E425" i="24" s="1"/>
  <c r="AI424" i="17" a="1"/>
  <c r="E424" i="24" s="1"/>
  <c r="AI276" i="17" a="1"/>
  <c r="E276" i="24" s="1"/>
  <c r="AI275" i="17" a="1"/>
  <c r="E275" i="24" s="1"/>
  <c r="AI274" i="17" a="1"/>
  <c r="E274" i="24" s="1"/>
  <c r="AI272" i="17" a="1"/>
  <c r="E272" i="24" s="1"/>
  <c r="AI271" i="17" a="1"/>
  <c r="E271" i="24" s="1"/>
  <c r="AI270" i="17" a="1"/>
  <c r="E270" i="24" s="1"/>
  <c r="AI269" i="17" a="1"/>
  <c r="E269" i="24" s="1"/>
  <c r="AI268" i="17" a="1"/>
  <c r="E268" i="24" s="1"/>
  <c r="AI267" i="17" a="1"/>
  <c r="E267" i="24" s="1"/>
  <c r="AI266" i="17" a="1"/>
  <c r="E266" i="24" s="1"/>
  <c r="AI261" i="17" a="1"/>
  <c r="E261" i="24" s="1"/>
  <c r="AI260" i="17" a="1"/>
  <c r="E260" i="24" s="1"/>
  <c r="AI259" i="17" a="1"/>
  <c r="E259" i="24" s="1"/>
  <c r="AI143" i="17" a="1"/>
  <c r="E143" i="24" s="1"/>
  <c r="AI142" i="17" a="1"/>
  <c r="E142" i="24" s="1"/>
  <c r="AI141" i="17" a="1"/>
  <c r="E141" i="24" s="1"/>
  <c r="AI140" i="17" a="1"/>
  <c r="E140" i="24" s="1"/>
  <c r="AI139" i="17" a="1"/>
  <c r="E139" i="24" s="1"/>
  <c r="AI138" i="17" a="1"/>
  <c r="E138" i="24" s="1"/>
  <c r="AI137" i="17" a="1"/>
  <c r="E137" i="24" s="1"/>
  <c r="AI134" i="17" a="1"/>
  <c r="E134" i="24" s="1"/>
  <c r="AI132" i="17" a="1"/>
  <c r="E132" i="24" s="1"/>
  <c r="AI130" i="17" a="1"/>
  <c r="E130" i="24" s="1"/>
  <c r="AI129" i="17" a="1"/>
  <c r="E129" i="24" s="1"/>
  <c r="AI125" i="17" a="1"/>
  <c r="E125" i="24" s="1"/>
  <c r="AI122" i="17" a="1"/>
  <c r="E122" i="24" s="1"/>
  <c r="AI17" i="17" a="1"/>
  <c r="E17" i="24" s="1"/>
  <c r="AI16" i="17" a="1"/>
  <c r="E16" i="24" s="1"/>
  <c r="AI147" i="17" a="1"/>
  <c r="E147" i="24" s="1"/>
  <c r="AI295" i="17" a="1"/>
  <c r="E295" i="24" s="1"/>
  <c r="AI149" i="17" a="1"/>
  <c r="E149" i="24" s="1"/>
  <c r="AI77" i="17" a="1"/>
  <c r="E77" i="24" s="1"/>
  <c r="AI860" i="17" a="1"/>
  <c r="AI111" i="17" a="1"/>
  <c r="E111" i="24" s="1"/>
  <c r="AI107" i="17" a="1"/>
  <c r="E107" i="24" s="1"/>
  <c r="AI315" i="17" a="1"/>
  <c r="E315" i="24" s="1"/>
  <c r="AI89" i="17" a="1"/>
  <c r="E89" i="24" s="1"/>
  <c r="AI822" i="17" a="1"/>
  <c r="E822" i="24" s="1"/>
  <c r="AI589" i="17" a="1"/>
  <c r="E589" i="24" s="1"/>
  <c r="AI457" i="17" a="1"/>
  <c r="E457" i="24" s="1"/>
  <c r="AI921" i="17" a="1"/>
  <c r="AI96" i="17" a="1"/>
  <c r="E96" i="24" s="1"/>
  <c r="AI616" i="17" a="1"/>
  <c r="E616" i="24" s="1"/>
  <c r="AI922" i="17" a="1"/>
  <c r="E922" i="24" s="1"/>
  <c r="AI823" i="17" a="1"/>
  <c r="E823" i="24" s="1"/>
  <c r="AI813" i="17" a="1"/>
  <c r="E813" i="24" s="1"/>
  <c r="AI590" i="17" a="1"/>
  <c r="E590" i="24" s="1"/>
  <c r="AI886" i="17" a="1"/>
  <c r="AI145" i="17" a="1"/>
  <c r="E145" i="24" s="1"/>
  <c r="AI591" i="17" a="1"/>
  <c r="E591" i="24" s="1"/>
  <c r="AI961" i="17" a="1"/>
  <c r="AI821" i="17" a="1"/>
  <c r="E821" i="24" s="1"/>
  <c r="AI962" i="17" a="1"/>
  <c r="AI885" i="17" a="1"/>
  <c r="AI935" i="17" a="1"/>
  <c r="AI932" i="17" a="1"/>
  <c r="E932" i="24" s="1"/>
  <c r="AI931" i="17" a="1"/>
  <c r="E931" i="24" s="1"/>
  <c r="AI930" i="17" a="1"/>
  <c r="E930" i="24" s="1"/>
  <c r="AI929" i="17" a="1"/>
  <c r="E929" i="24" s="1"/>
  <c r="AI928" i="17" a="1"/>
  <c r="AI320" i="17" a="1"/>
  <c r="E320" i="24" s="1"/>
  <c r="AI316" i="17" a="1"/>
  <c r="E316" i="24" s="1"/>
  <c r="AI170" i="17" a="1"/>
  <c r="E170" i="24" s="1"/>
  <c r="AI118" i="17" a="1"/>
  <c r="E118" i="24" s="1"/>
  <c r="AI112" i="17" a="1"/>
  <c r="E112" i="24" s="1"/>
  <c r="AI95" i="17" a="1"/>
  <c r="E95" i="24" s="1"/>
  <c r="AI618" i="17" a="1"/>
  <c r="E618" i="24" s="1"/>
  <c r="AI211" i="17" a="1"/>
  <c r="E211" i="24" s="1"/>
  <c r="AI206" i="17" a="1"/>
  <c r="E206" i="24" s="1"/>
  <c r="AI203" i="17" a="1"/>
  <c r="E203" i="24" s="1"/>
  <c r="AI200" i="17" a="1"/>
  <c r="E200" i="24" s="1"/>
  <c r="AI198" i="17" a="1"/>
  <c r="E198" i="24" s="1"/>
  <c r="AI196" i="17" a="1"/>
  <c r="E196" i="24" s="1"/>
  <c r="AI117" i="17" a="1"/>
  <c r="E117" i="24" s="1"/>
  <c r="AI110" i="17" a="1"/>
  <c r="E110" i="24" s="1"/>
  <c r="AI103" i="17" a="1"/>
  <c r="E103" i="24" s="1"/>
  <c r="AI54" i="17" a="1"/>
  <c r="E54" i="24" s="1"/>
  <c r="AI888" i="17" a="1"/>
  <c r="E888" i="24" s="1"/>
  <c r="AI488" i="17" a="1"/>
  <c r="E488" i="24" s="1"/>
  <c r="AI791" i="17" a="1"/>
  <c r="E791" i="24" s="1"/>
  <c r="AI896" i="17" a="1"/>
  <c r="AI249" i="17" a="1"/>
  <c r="E249" i="24" s="1"/>
  <c r="AI849" i="17" a="1"/>
  <c r="E849" i="24" s="1"/>
  <c r="AI972" i="17" a="1"/>
  <c r="AI906" i="17" a="1"/>
  <c r="AI248" i="17" a="1"/>
  <c r="E248" i="24" s="1"/>
  <c r="AI477" i="17" a="1"/>
  <c r="E477" i="24" s="1"/>
  <c r="AI12" i="17" a="1"/>
  <c r="E12" i="24" s="1"/>
  <c r="AI945" i="17" a="1"/>
  <c r="AI942" i="17" a="1"/>
  <c r="E942" i="24" s="1"/>
  <c r="AI941" i="17" a="1"/>
  <c r="E941" i="24" s="1"/>
  <c r="AI940" i="17" a="1"/>
  <c r="E940" i="24" s="1"/>
  <c r="AI938" i="17" a="1"/>
  <c r="E938" i="24" s="1"/>
  <c r="C938" i="14" a="1"/>
  <c r="C937" i="14" a="1"/>
  <c r="AI937" i="17" a="1"/>
  <c r="E937" i="24" s="1"/>
  <c r="AI936" i="17" a="1"/>
  <c r="E936" i="24" s="1"/>
  <c r="C936" i="14" a="1"/>
  <c r="AI987" i="17" a="1"/>
  <c r="E987" i="24" s="1"/>
  <c r="AI973" i="17" a="1"/>
  <c r="AI783" i="17" a="1"/>
  <c r="E783" i="24" s="1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M608" i="14"/>
  <c r="M1012" i="14"/>
  <c r="C999" i="14" a="1"/>
  <c r="C1000" i="14" a="1"/>
  <c r="E1010" i="24"/>
  <c r="E994" i="24"/>
  <c r="M984" i="14"/>
  <c r="M928" i="14"/>
  <c r="C973" i="14" a="1"/>
  <c r="E998" i="24"/>
  <c r="M983" i="14"/>
  <c r="M867" i="14"/>
  <c r="M866" i="14"/>
  <c r="M865" i="14"/>
  <c r="M864" i="14"/>
  <c r="M863" i="14"/>
  <c r="M862" i="14"/>
  <c r="M861" i="1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M976" i="14"/>
  <c r="M975" i="14"/>
  <c r="M974" i="14"/>
  <c r="M992" i="14"/>
  <c r="M1000" i="14"/>
  <c r="M1001" i="14"/>
  <c r="M991" i="14"/>
  <c r="M985" i="14"/>
  <c r="M977" i="14"/>
  <c r="M1009" i="1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1006" i="24"/>
  <c r="E1009" i="24"/>
  <c r="E1007" i="24"/>
  <c r="M999" i="14"/>
  <c r="M996" i="14"/>
  <c r="M1002" i="14"/>
  <c r="M998" i="14"/>
  <c r="M1008" i="14"/>
  <c r="M1006" i="14"/>
  <c r="M1004" i="14"/>
  <c r="M1011" i="14"/>
  <c r="M995" i="14"/>
  <c r="M997" i="14"/>
  <c r="M994" i="14"/>
  <c r="M801" i="14"/>
  <c r="M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M1003" i="14"/>
  <c r="M1007" i="14"/>
  <c r="C974" i="14" a="1"/>
  <c r="C870" i="14" a="1"/>
  <c r="M611" i="14"/>
  <c r="M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K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A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S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T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<sst xmlns="http://schemas.openxmlformats.org/spreadsheetml/2006/main" count="20247" uniqueCount="3724">
  <si>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</si>
  <si>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</si>
  <si>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</si>
  <si>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</si>
  <si>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</si>
  <si>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</si>
  <si>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</si>
  <si>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</si>
  <si>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</si>
  <si>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</si>
  <si>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</si>
  <si>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</si>
  <si>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</si>
  <si>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</si>
  <si>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</si>
  <si>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</si>
  <si>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</si>
  <si>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</si>
  <si>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</si>
  <si>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</si>
  <si>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</si>
  <si>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</si>
  <si>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</si>
  <si>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</si>
  <si>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</si>
  <si>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</si>
  <si>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</si>
  <si>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</si>
  <si>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</si>
  <si>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</si>
  <si>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</si>
  <si>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</si>
  <si>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</si>
  <si>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</si>
  <si>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</si>
  <si>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</si>
  <si>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</si>
  <si>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</si>
  <si>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</si>
  <si>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</si>
  <si>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</si>
  <si>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</si>
  <si>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</si>
  <si>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</si>
  <si>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</si>
  <si>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</si>
  <si>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</si>
  <si>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</si>
  <si>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</si>
  <si>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</si>
  <si>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</si>
  <si>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</si>
  <si>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</si>
  <si>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</si>
  <si>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</si>
  <si>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</si>
  <si>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</si>
  <si>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</si>
  <si>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</si>
  <si>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</si>
  <si>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</si>
  <si>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</si>
  <si>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</si>
  <si>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</si>
  <si>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</si>
  <si>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</si>
  <si>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</si>
  <si>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</si>
  <si>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</si>
  <si>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</si>
  <si>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</si>
  <si>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</si>
  <si>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</si>
  <si>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</si>
  <si>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</si>
  <si>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</si>
  <si>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</si>
  <si>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</si>
  <si>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</si>
  <si>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</si>
  <si>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</si>
  <si>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</si>
  <si>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</si>
  <si>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</si>
  <si>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</si>
  <si>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</si>
  <si>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</si>
  <si>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</si>
  <si>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</si>
  <si>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</si>
  <si>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</si>
  <si>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</si>
  <si>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</si>
  <si>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</si>
  <si>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</si>
  <si>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</si>
  <si>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</si>
  <si>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</si>
  <si>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</si>
  <si>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</si>
  <si>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</si>
  <si>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</si>
  <si>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</si>
  <si>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</si>
  <si>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</si>
  <si>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</si>
  <si>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</si>
  <si>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</si>
  <si>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</si>
  <si>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</si>
  <si>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</si>
  <si>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</si>
  <si>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</si>
  <si>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</si>
  <si>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</si>
  <si>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</si>
  <si>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</si>
  <si>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</si>
  <si>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</si>
  <si>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</si>
  <si>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</si>
  <si>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</si>
  <si>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</si>
  <si>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</si>
  <si>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</si>
  <si>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</si>
  <si>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</si>
  <si>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</si>
  <si>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</si>
  <si>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</si>
  <si>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</si>
  <si>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</si>
  <si>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</si>
  <si>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</si>
  <si>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</si>
  <si>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</si>
  <si>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</si>
  <si>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</si>
  <si>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</si>
  <si>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</si>
  <si>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</si>
  <si>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</si>
  <si>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</si>
  <si>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</si>
  <si>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</si>
  <si>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</si>
  <si>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</si>
  <si>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</si>
  <si>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</si>
  <si>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</si>
  <si>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</si>
  <si>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</si>
  <si>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</si>
  <si>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</si>
  <si>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</si>
  <si>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</si>
  <si>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</si>
  <si>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</si>
  <si>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</si>
  <si>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</si>
  <si>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</si>
  <si>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</si>
  <si>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</si>
  <si>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</si>
  <si>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</si>
  <si>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</si>
  <si>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</si>
  <si>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</si>
  <si>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</si>
  <si>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</si>
  <si>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</si>
  <si>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</si>
  <si>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</si>
  <si>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</si>
  <si>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</si>
  <si>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</si>
  <si>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</si>
  <si>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</si>
  <si>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</si>
  <si>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</si>
  <si>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</si>
  <si>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</si>
  <si>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</si>
  <si>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</si>
  <si>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</si>
  <si>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</si>
  <si>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</si>
  <si>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</si>
  <si>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</si>
  <si>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</si>
  <si>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</si>
  <si>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</si>
  <si>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</si>
  <si>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</si>
  <si>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</si>
  <si>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</si>
  <si>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</si>
  <si>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</si>
  <si>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</si>
  <si>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</si>
  <si>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</si>
  <si>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</si>
  <si>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</si>
  <si>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</si>
  <si>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</si>
  <si>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</si>
  <si>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</si>
  <si>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</si>
  <si>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</si>
  <si>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</si>
  <si>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</si>
  <si>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</si>
  <si>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</si>
  <si>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</si>
  <si>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</si>
  <si>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</si>
  <si>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</si>
  <si>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</si>
  <si>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</si>
  <si>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</si>
  <si>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</si>
  <si>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</si>
  <si>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</si>
  <si>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</si>
  <si>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</si>
  <si>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</si>
  <si>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</si>
  <si>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</si>
  <si>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</si>
  <si>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</si>
  <si>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</si>
  <si>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</si>
  <si>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</si>
  <si>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</si>
  <si>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</si>
  <si>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</si>
  <si>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</si>
  <si>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</si>
  <si>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</si>
  <si>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</si>
  <si>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</si>
  <si>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</si>
  <si>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</si>
  <si>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</si>
  <si>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</si>
  <si>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</si>
  <si>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</si>
  <si>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</si>
  <si>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</si>
  <si>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</si>
  <si>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</si>
  <si>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</si>
  <si>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</si>
  <si>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</si>
  <si>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</si>
  <si>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</si>
  <si>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</si>
  <si>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</si>
  <si>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</si>
  <si>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</si>
  <si>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</si>
  <si>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</si>
  <si>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</si>
  <si>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</si>
  <si>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</si>
  <si>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</si>
  <si>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</si>
  <si>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</si>
  <si>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</si>
  <si>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</si>
  <si>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</si>
  <si>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</si>
  <si>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</si>
  <si>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</si>
  <si>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</si>
  <si>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</si>
  <si>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</si>
  <si>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</si>
  <si>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</si>
  <si>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</si>
  <si>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</si>
  <si>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</si>
  <si>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</si>
  <si>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</si>
  <si>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</si>
  <si>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</si>
  <si>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</si>
  <si>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</si>
  <si>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</si>
  <si>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</si>
  <si>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</si>
  <si>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</si>
  <si>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</si>
  <si>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</si>
  <si>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</si>
  <si>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</si>
  <si>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</si>
  <si>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</si>
  <si>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</si>
  <si>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</si>
  <si>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</si>
  <si>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</si>
  <si>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</si>
  <si>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</si>
  <si>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</si>
  <si>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</si>
  <si>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</si>
  <si>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</si>
  <si>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</si>
  <si>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</si>
  <si>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</si>
  <si>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</si>
  <si>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</si>
  <si>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</si>
  <si>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</si>
  <si>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</si>
  <si>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</si>
  <si>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</si>
  <si>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</si>
  <si>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</si>
  <si>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</si>
  <si>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</si>
  <si>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</si>
  <si>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</si>
  <si>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</si>
  <si>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</si>
  <si>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</si>
  <si>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</si>
  <si>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</si>
  <si>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</si>
  <si>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</si>
  <si>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</si>
  <si>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</si>
  <si>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</si>
  <si>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</si>
  <si>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</si>
  <si>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</si>
  <si>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</si>
  <si>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</si>
  <si>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</si>
  <si>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</si>
  <si>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</si>
  <si>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</si>
  <si>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</si>
  <si>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</si>
  <si>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</si>
  <si>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</si>
  <si>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</si>
  <si>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</si>
  <si>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</si>
  <si>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</si>
  <si>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</si>
  <si>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</si>
  <si>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</si>
  <si>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</si>
  <si>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</si>
  <si>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</si>
  <si>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</si>
  <si>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</si>
  <si>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</si>
  <si>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</si>
  <si>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</si>
  <si>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</si>
  <si>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</si>
  <si>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</si>
  <si>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</si>
  <si>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</si>
  <si>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</si>
  <si>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</si>
  <si>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</si>
  <si>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</si>
  <si>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</si>
  <si>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</si>
  <si>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</si>
  <si>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</si>
  <si>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</si>
  <si>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</si>
  <si>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</si>
  <si>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</si>
  <si>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</si>
  <si>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</si>
  <si>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</si>
  <si>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</si>
  <si>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</si>
  <si>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</si>
  <si>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</si>
  <si>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</si>
  <si>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</si>
  <si>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</si>
  <si>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</si>
  <si>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</si>
  <si>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</si>
  <si>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</si>
  <si>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</si>
  <si>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</si>
  <si>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</si>
  <si>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</si>
  <si>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</si>
  <si>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</si>
  <si>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</si>
  <si>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</si>
  <si>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</si>
  <si>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</si>
  <si>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</si>
  <si>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</si>
  <si>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</si>
  <si>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</si>
  <si>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</si>
  <si>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</si>
  <si>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</si>
  <si>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</si>
  <si>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</si>
  <si>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</si>
  <si>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</si>
  <si>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</si>
  <si>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</si>
  <si>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</si>
  <si>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</si>
  <si>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</si>
  <si>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</si>
  <si>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</si>
  <si>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</si>
  <si>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</si>
  <si>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</si>
  <si>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</si>
  <si>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</si>
  <si>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</si>
  <si>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</si>
  <si>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</si>
  <si>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</si>
  <si>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</si>
  <si>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</si>
  <si>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</si>
  <si>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</si>
  <si>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</si>
  <si>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</si>
  <si>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</si>
  <si>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</si>
  <si>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</si>
  <si>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</si>
  <si>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</si>
  <si>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</si>
  <si>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</si>
  <si>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</si>
  <si>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</si>
  <si>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</si>
  <si>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</si>
  <si>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</si>
  <si>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</si>
  <si>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</si>
  <si>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</si>
  <si>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</si>
  <si>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</si>
  <si>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</si>
  <si>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</si>
  <si>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</si>
  <si>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</si>
  <si>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</si>
  <si>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</si>
  <si>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</si>
  <si>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</si>
  <si>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</si>
  <si>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</si>
  <si>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</si>
  <si>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</si>
  <si>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</si>
  <si>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</si>
  <si>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</si>
  <si>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</si>
  <si>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</si>
  <si>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</si>
  <si>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</si>
  <si>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</si>
  <si>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</si>
  <si>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</si>
  <si>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</si>
  <si>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</si>
  <si>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</si>
  <si>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</si>
  <si>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</si>
  <si>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</si>
  <si>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</si>
  <si>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</si>
  <si>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</si>
  <si>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</si>
  <si>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</si>
  <si>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</si>
  <si>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</si>
  <si>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</si>
  <si>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</si>
  <si>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</si>
  <si>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</si>
  <si>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</si>
  <si>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</si>
  <si>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</si>
  <si>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</si>
  <si>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</si>
  <si>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</si>
  <si>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</si>
  <si>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</si>
  <si>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</si>
  <si>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</si>
  <si>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</si>
  <si>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</si>
  <si>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</si>
  <si>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</si>
  <si>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</si>
  <si>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</si>
  <si>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</si>
  <si>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</si>
  <si>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</si>
  <si>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</si>
  <si>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</si>
  <si>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</si>
  <si>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</si>
  <si>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</si>
  <si>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</si>
  <si>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</si>
  <si>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</si>
  <si>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</si>
  <si>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</si>
  <si>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</si>
  <si>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</si>
  <si>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</si>
  <si>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</si>
  <si>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</si>
  <si>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</si>
  <si>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</si>
  <si>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</si>
  <si>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</si>
  <si>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</si>
  <si>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</si>
  <si>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</si>
  <si>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</si>
  <si>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</si>
  <si>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</si>
  <si>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</si>
  <si>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</si>
  <si>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</si>
  <si>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</si>
  <si>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</si>
  <si>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</si>
  <si>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</si>
  <si>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</si>
  <si>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</si>
  <si>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</si>
  <si>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</si>
  <si>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</si>
  <si>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</si>
  <si>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</si>
  <si>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</si>
  <si>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</si>
  <si>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</si>
  <si>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</si>
  <si>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</si>
  <si>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</si>
  <si>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</si>
  <si>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</si>
  <si>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</si>
  <si>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</si>
  <si>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</si>
  <si>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</si>
  <si>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</si>
  <si>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</si>
  <si>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</si>
  <si>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</si>
  <si>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</si>
  <si>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</si>
  <si>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</si>
  <si>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</si>
  <si>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</si>
  <si>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</si>
  <si>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</si>
  <si>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</si>
  <si>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</si>
  <si>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</si>
  <si>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</si>
  <si>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</si>
  <si>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</si>
  <si>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</si>
  <si>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</si>
  <si>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</si>
  <si>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</si>
  <si>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</si>
  <si>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</si>
  <si>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</si>
  <si>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</si>
  <si>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</si>
  <si>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</si>
  <si>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</si>
  <si>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</si>
  <si>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</si>
  <si>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</si>
  <si>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</si>
  <si>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</si>
  <si>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</si>
  <si>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</si>
  <si>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</si>
  <si>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</si>
  <si>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</si>
  <si>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</si>
  <si>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</si>
  <si>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</si>
  <si>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</si>
  <si>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</si>
  <si>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</si>
  <si>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</si>
  <si>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</si>
  <si>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</si>
  <si>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</si>
  <si>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</si>
  <si>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</si>
  <si>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</si>
  <si>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</si>
  <si>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</si>
  <si>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</si>
  <si>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</si>
  <si>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</si>
  <si>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</si>
  <si>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</si>
  <si>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</si>
  <si>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</si>
  <si>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</si>
  <si>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</si>
  <si>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</si>
  <si>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</si>
  <si>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</si>
  <si>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</si>
  <si>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</si>
  <si>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</si>
  <si>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</si>
  <si>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</si>
  <si>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</si>
  <si>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</si>
  <si>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</si>
  <si>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</si>
  <si>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</si>
  <si>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</si>
  <si>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</si>
  <si>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</si>
  <si>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</si>
  <si>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</si>
  <si>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</si>
  <si>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</si>
  <si>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</si>
  <si>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</si>
  <si>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</si>
  <si>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</si>
  <si>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</si>
  <si>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</si>
  <si>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</si>
  <si>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</si>
  <si>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</si>
  <si>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</si>
  <si>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</si>
  <si>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</si>
  <si>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</si>
  <si>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</si>
  <si>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</si>
  <si>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</si>
  <si>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</si>
  <si>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</si>
  <si>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</si>
  <si>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</si>
  <si>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</si>
  <si>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</si>
  <si>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</si>
  <si>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</si>
  <si>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</si>
  <si>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</si>
  <si>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</si>
  <si>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</si>
  <si>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</si>
  <si>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</si>
  <si>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</si>
  <si>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</si>
  <si>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</si>
  <si>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</si>
  <si>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</si>
  <si>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</si>
  <si>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</si>
  <si>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</si>
  <si>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</si>
  <si>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</si>
  <si>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</si>
  <si>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</si>
  <si>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</si>
  <si>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</si>
  <si>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</si>
  <si>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</si>
  <si>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</si>
  <si>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</si>
  <si>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</si>
  <si>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</si>
  <si>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</si>
  <si>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</si>
  <si>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</si>
  <si>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</si>
  <si>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</si>
  <si>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</si>
  <si>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</si>
  <si>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</si>
  <si>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</si>
  <si>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</si>
  <si>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</si>
  <si>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</si>
  <si>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</si>
  <si>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</si>
  <si>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</si>
  <si>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</si>
  <si>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</si>
  <si>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</si>
  <si>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</si>
  <si>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</si>
  <si>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</si>
  <si>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</si>
  <si>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</si>
  <si>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</si>
  <si>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</si>
  <si>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</si>
  <si>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</si>
  <si>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</si>
  <si>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</si>
  <si>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</si>
  <si>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</si>
  <si>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</si>
  <si>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</si>
  <si>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</si>
  <si>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</si>
  <si>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</si>
  <si>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</si>
  <si>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</si>
  <si>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</si>
  <si>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</si>
  <si>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</si>
  <si>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</si>
  <si>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</si>
  <si>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</si>
  <si>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</si>
  <si>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</si>
  <si>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</si>
  <si>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</si>
  <si>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</si>
  <si>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</si>
  <si>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</si>
  <si>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</si>
  <si>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</si>
  <si>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</si>
  <si>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</si>
  <si>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</si>
  <si>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</si>
  <si>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</si>
  <si>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</si>
  <si>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</si>
  <si>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</si>
  <si>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</si>
  <si>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</si>
  <si>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</si>
  <si>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</si>
  <si>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</si>
  <si>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</si>
  <si>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</si>
  <si>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</si>
  <si>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</si>
  <si>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</si>
  <si>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</si>
  <si>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</si>
  <si>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</si>
  <si>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</si>
  <si>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</si>
  <si>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</si>
  <si>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</si>
  <si>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</si>
  <si>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</si>
  <si>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</si>
  <si>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</si>
  <si>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</si>
  <si>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</si>
  <si>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</si>
  <si>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</si>
  <si>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</si>
  <si>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</si>
  <si>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</si>
  <si>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</si>
  <si>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</si>
  <si>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</si>
  <si>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</si>
  <si>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</si>
  <si>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</si>
  <si>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</si>
  <si>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</si>
  <si>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</si>
  <si>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</si>
  <si>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</si>
  <si>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</si>
  <si>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</si>
  <si>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</si>
  <si>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</si>
  <si>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</si>
  <si>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</si>
  <si>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</si>
  <si>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</si>
  <si>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</si>
  <si>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</si>
  <si>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</si>
  <si>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</si>
  <si>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</si>
  <si>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</si>
  <si>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</si>
  <si>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</si>
  <si>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</si>
  <si>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</si>
  <si>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</si>
  <si>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</si>
  <si>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</si>
  <si>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</si>
  <si>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</si>
  <si>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</si>
  <si>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</si>
  <si>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</si>
  <si>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</si>
  <si>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</si>
  <si>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</si>
  <si>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</si>
  <si>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</si>
  <si>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</si>
  <si>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</si>
  <si>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</si>
  <si>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</si>
  <si>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</si>
  <si>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</si>
  <si>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</si>
  <si>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</si>
  <si>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</si>
  <si>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</si>
  <si>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</si>
  <si>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</si>
  <si>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</si>
  <si>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</si>
  <si>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</si>
  <si>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</si>
  <si>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</si>
  <si>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</si>
  <si>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</si>
  <si>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</si>
  <si>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</si>
  <si>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</si>
  <si>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</si>
  <si>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</si>
  <si>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</si>
  <si>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</si>
  <si>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</si>
  <si>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</si>
  <si>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</si>
  <si>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</si>
  <si>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</si>
  <si>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</si>
  <si>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</si>
  <si>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</si>
  <si>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</si>
  <si>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</si>
  <si>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</si>
  <si>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</si>
  <si>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</si>
  <si>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</si>
  <si>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</si>
  <si>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</si>
  <si>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</si>
  <si>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</si>
  <si>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</si>
  <si>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</si>
  <si>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</si>
  <si>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</si>
  <si>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</si>
  <si>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</si>
  <si>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</si>
  <si>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</si>
  <si>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</si>
  <si>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</si>
  <si>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</si>
  <si>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</si>
  <si>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</si>
  <si>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</si>
  <si>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</si>
  <si>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</si>
  <si>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</si>
  <si>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</si>
  <si>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</si>
  <si>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</si>
  <si>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</si>
  <si>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</si>
  <si>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</si>
  <si>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</si>
  <si>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</si>
  <si>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</si>
  <si>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</si>
  <si>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</si>
  <si>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</si>
  <si>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</si>
  <si>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</si>
  <si>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</si>
  <si>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</si>
  <si>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</si>
  <si>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</si>
  <si>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</si>
  <si>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</si>
  <si>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</si>
  <si>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</si>
  <si>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</si>
  <si>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</si>
  <si>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</si>
  <si>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</si>
  <si>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</si>
  <si>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</si>
  <si>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</si>
  <si>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</si>
  <si>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</si>
  <si>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</si>
  <si>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</si>
  <si>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</si>
  <si>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</si>
  <si>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</si>
  <si>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</si>
  <si>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</si>
  <si>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</si>
  <si>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</si>
  <si>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</si>
  <si>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</si>
  <si>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</si>
  <si>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</si>
  <si>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</si>
  <si>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</si>
  <si>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</si>
  <si>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</si>
  <si>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</si>
  <si>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</si>
  <si>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</si>
  <si>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</si>
  <si>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</si>
  <si>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</si>
  <si>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</si>
  <si>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</si>
  <si>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</si>
  <si>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</si>
  <si>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</si>
  <si>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</si>
  <si>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</si>
  <si>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</si>
  <si>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</si>
  <si>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</si>
  <si>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</si>
  <si>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</si>
  <si>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</si>
  <si>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</si>
  <si>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</si>
  <si>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</si>
  <si>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</si>
  <si>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</si>
  <si>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</si>
  <si>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</si>
  <si>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</si>
  <si>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</si>
  <si>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</si>
  <si>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</si>
  <si>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</si>
  <si>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</si>
  <si>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</si>
  <si>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</si>
  <si>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</si>
  <si>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</si>
  <si>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</si>
  <si>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</si>
  <si>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</si>
  <si>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</si>
  <si>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</si>
  <si>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</si>
  <si>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</si>
  <si>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</si>
  <si>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</si>
  <si>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</si>
  <si>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</si>
  <si>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</si>
  <si>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</si>
  <si>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</si>
  <si>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</si>
  <si>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</si>
  <si>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</si>
  <si>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</si>
  <si>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</si>
  <si>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</si>
  <si>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</si>
  <si>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</si>
  <si>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</si>
  <si>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</si>
  <si>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</si>
  <si>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</si>
  <si>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</si>
  <si>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</si>
  <si>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</si>
  <si>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</si>
  <si>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</si>
  <si>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</si>
  <si>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</si>
  <si>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</si>
  <si>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</si>
  <si>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</si>
  <si>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</si>
  <si>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</si>
  <si>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</si>
  <si>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</si>
  <si>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</si>
  <si>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</si>
  <si>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</si>
  <si>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</si>
  <si>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</si>
  <si>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</si>
  <si>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</si>
  <si>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</si>
  <si>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</si>
  <si>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</si>
  <si>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</si>
  <si>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</si>
  <si>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</si>
  <si>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</si>
  <si>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</si>
  <si>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</si>
  <si>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</si>
  <si>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</si>
  <si>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</si>
  <si>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</si>
  <si>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</si>
  <si>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</si>
  <si>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</si>
  <si>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</si>
  <si>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</si>
  <si>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</si>
  <si>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</si>
  <si>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</si>
  <si>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</si>
  <si>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</si>
  <si>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</si>
  <si>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</si>
  <si>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</si>
  <si>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</si>
  <si>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</si>
  <si>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</si>
  <si>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</si>
  <si>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</si>
  <si>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</si>
  <si>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</si>
  <si>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</si>
  <si>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</si>
  <si>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</si>
  <si>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</si>
  <si>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</si>
  <si>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</si>
  <si>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</si>
  <si>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</si>
  <si>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</si>
  <si>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</si>
  <si>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</si>
  <si>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</si>
  <si>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</si>
  <si>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</si>
  <si>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</si>
  <si>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</si>
  <si>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</si>
  <si>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</si>
  <si>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</si>
  <si>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</si>
  <si>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</si>
  <si>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</si>
  <si>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</si>
  <si>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</si>
  <si>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</si>
  <si>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</si>
  <si>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</si>
  <si>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</si>
  <si>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</si>
  <si>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</si>
  <si>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</si>
  <si>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</si>
  <si>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</si>
  <si>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</si>
  <si>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</si>
  <si>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</si>
  <si>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</si>
  <si>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</si>
  <si>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</si>
  <si>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</si>
  <si>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</si>
  <si>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</si>
  <si>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</si>
  <si>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</si>
  <si>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</si>
  <si>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</si>
  <si>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</si>
  <si>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</si>
  <si>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</si>
  <si>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</si>
  <si>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</si>
  <si>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</si>
  <si>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</si>
  <si>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</si>
  <si>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</si>
  <si>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</si>
  <si>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</si>
  <si>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</si>
  <si>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</si>
  <si>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</si>
  <si>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</si>
  <si>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</si>
  <si>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</si>
  <si>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</si>
  <si>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</si>
  <si>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</si>
  <si>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</si>
  <si>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</si>
  <si>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</si>
  <si>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</si>
  <si>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</si>
  <si>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</si>
  <si>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</si>
  <si>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</si>
  <si>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</si>
  <si>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</si>
  <si>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</si>
  <si>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</si>
  <si>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</si>
  <si>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</si>
  <si>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</si>
  <si>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</si>
  <si>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</si>
  <si>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</si>
  <si>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</si>
  <si>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</si>
  <si>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</si>
  <si>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</si>
  <si>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</si>
  <si>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</si>
  <si>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</si>
  <si>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</si>
  <si>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</si>
  <si>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</si>
  <si>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</si>
  <si>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</si>
  <si>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</si>
  <si>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</si>
  <si>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</si>
  <si>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</si>
  <si>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</si>
  <si>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</si>
  <si>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</si>
  <si>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</si>
  <si>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</si>
  <si>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</si>
  <si>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</si>
  <si>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</si>
  <si>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</si>
  <si>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</si>
  <si>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</si>
  <si>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</si>
  <si>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</si>
  <si>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</si>
  <si>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</si>
  <si>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</si>
  <si>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</si>
  <si>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</si>
  <si>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</si>
  <si>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</si>
  <si>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</si>
  <si>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</si>
  <si>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</si>
  <si>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</si>
  <si>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</si>
  <si>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</si>
  <si>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</si>
  <si>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</si>
  <si>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</si>
  <si>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</si>
  <si>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</si>
  <si>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</si>
  <si>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</si>
  <si>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</si>
  <si>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</si>
  <si>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</si>
  <si>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</si>
  <si>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</si>
  <si>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</si>
  <si>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</si>
  <si>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</si>
  <si>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</si>
  <si>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</si>
  <si>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</si>
  <si>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</si>
  <si>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</si>
  <si>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</si>
  <si>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</si>
  <si>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</si>
  <si>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</si>
  <si>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</si>
  <si>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</si>
  <si>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</si>
  <si>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</si>
  <si>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</si>
  <si>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</si>
  <si>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</si>
  <si>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</si>
  <si>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</si>
  <si>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</si>
  <si>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</si>
  <si>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</si>
  <si>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</si>
  <si>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</si>
  <si>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</si>
  <si>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</si>
  <si>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</si>
  <si>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</si>
  <si>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</si>
  <si>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</si>
  <si>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</si>
  <si>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</si>
  <si>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</si>
  <si>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</si>
  <si>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</si>
  <si>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</si>
  <si>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</si>
  <si>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</si>
  <si>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</si>
  <si>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</si>
  <si>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</si>
  <si>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</si>
  <si>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</si>
  <si>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</si>
  <si>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</si>
  <si>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</si>
  <si>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</si>
  <si>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</si>
  <si>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</si>
  <si>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</si>
  <si>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</si>
  <si>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</si>
  <si>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</si>
  <si>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</si>
  <si>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</si>
  <si>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</si>
  <si>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</si>
  <si>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</si>
  <si>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</si>
  <si>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</si>
  <si>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</si>
  <si>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</si>
  <si>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</si>
  <si>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</si>
  <si>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</si>
  <si>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</si>
  <si>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</si>
  <si>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</si>
  <si>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</si>
  <si>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</si>
  <si>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</si>
  <si>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</si>
  <si>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</si>
  <si>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</si>
  <si>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</si>
  <si>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</si>
  <si>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</si>
  <si>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</si>
  <si>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</si>
  <si>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</si>
  <si>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</si>
  <si>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</si>
  <si>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</si>
  <si>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</si>
  <si>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</si>
  <si>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</si>
  <si>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</si>
  <si>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</si>
  <si>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</si>
  <si>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</si>
  <si>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</si>
  <si>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</si>
  <si>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</si>
  <si>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</si>
  <si>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</si>
  <si>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</si>
  <si>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</si>
  <si>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</si>
  <si>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</si>
  <si>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</si>
  <si>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</si>
  <si>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</si>
  <si>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</si>
  <si>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</si>
  <si>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</si>
  <si>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</si>
  <si>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</si>
  <si>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</si>
  <si>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</si>
  <si>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</si>
  <si>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</si>
  <si>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</si>
  <si>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</si>
  <si>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</si>
  <si>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</si>
  <si>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</si>
  <si>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</si>
  <si>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</si>
  <si>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</si>
  <si>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</si>
  <si>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</si>
  <si>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</si>
  <si>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</si>
  <si>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</si>
  <si>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</si>
  <si>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</si>
  <si>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</si>
  <si>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</si>
  <si>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</si>
  <si>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</si>
  <si>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</si>
  <si>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</si>
  <si>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</si>
  <si>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</si>
  <si>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</si>
  <si>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</si>
  <si>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</si>
  <si>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</si>
  <si>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</si>
  <si>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</si>
  <si>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</si>
  <si>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</si>
  <si>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</si>
  <si>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</si>
  <si>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</si>
  <si>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</si>
  <si>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</si>
  <si>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</si>
  <si>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</si>
  <si>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</si>
  <si>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</si>
  <si>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</si>
  <si>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</si>
  <si>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</si>
  <si>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</si>
  <si>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</si>
  <si>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</si>
  <si>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</si>
  <si>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</si>
  <si>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</si>
  <si>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</si>
  <si>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</si>
  <si>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</si>
  <si>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</si>
  <si>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</si>
  <si>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</si>
  <si>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</si>
  <si>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</si>
  <si>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</si>
  <si>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</si>
  <si>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</si>
  <si>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</si>
  <si>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</si>
  <si>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</si>
  <si>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</si>
  <si>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</si>
  <si>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</si>
  <si>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</si>
  <si>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</si>
  <si>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</si>
  <si>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</si>
  <si>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</si>
  <si>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</si>
  <si>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</si>
  <si>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</si>
  <si>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</si>
  <si>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</si>
  <si>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</si>
  <si>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</si>
  <si>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</si>
  <si>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</si>
  <si>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</si>
  <si>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</si>
  <si>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</si>
  <si>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</si>
  <si>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</si>
  <si>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</si>
  <si>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</si>
  <si>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</si>
  <si>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</si>
  <si>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</si>
  <si>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</si>
  <si>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</si>
  <si>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</si>
  <si>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</si>
  <si>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</si>
  <si>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</si>
  <si>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</si>
  <si>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</si>
  <si>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</si>
  <si>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</si>
  <si>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</si>
  <si>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</si>
  <si>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</si>
  <si>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</si>
  <si>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</si>
  <si>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</si>
  <si>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</si>
  <si>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</si>
  <si>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</si>
  <si>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</si>
  <si>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</si>
  <si>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</si>
  <si>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</si>
  <si>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</si>
  <si>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</si>
  <si>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</si>
  <si>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</si>
  <si>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</si>
  <si>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</si>
  <si>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</si>
  <si>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</si>
  <si>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</si>
  <si>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</si>
  <si>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</si>
  <si>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</si>
  <si>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</si>
  <si>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</si>
  <si>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</si>
  <si>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</si>
  <si>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</si>
  <si>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</si>
  <si>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</si>
  <si>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</si>
  <si>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</si>
  <si>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</si>
  <si>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</si>
  <si>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</si>
  <si>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</si>
  <si>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</si>
  <si>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</si>
  <si>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</si>
  <si>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</si>
  <si>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</si>
  <si>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</si>
  <si>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</si>
  <si>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</si>
  <si>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</si>
  <si>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</si>
  <si>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</si>
  <si>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</si>
  <si>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</si>
  <si>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</si>
  <si>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</si>
  <si>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</si>
  <si>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</si>
  <si>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</si>
  <si>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</si>
  <si>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</si>
  <si>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</si>
  <si>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</si>
  <si>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</si>
  <si>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</si>
  <si>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</si>
  <si>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</si>
  <si>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</si>
  <si>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</si>
  <si>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</si>
  <si>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</si>
  <si>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</si>
  <si>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</si>
  <si>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</si>
  <si>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</si>
  <si>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</si>
  <si>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</si>
  <si>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</si>
  <si>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</si>
  <si>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</si>
  <si>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</si>
  <si>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</si>
  <si>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</si>
  <si>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</si>
  <si>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</si>
  <si>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</si>
  <si>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</si>
  <si>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</si>
  <si>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</si>
  <si>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</si>
  <si>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</si>
  <si>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</si>
  <si>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</si>
  <si>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</si>
  <si>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</si>
  <si>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</si>
  <si>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</si>
  <si>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</si>
  <si>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</si>
  <si>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</si>
  <si>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</si>
  <si>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</si>
  <si>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</si>
  <si>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</si>
  <si>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</si>
  <si>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</si>
  <si>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</si>
  <si>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</si>
  <si>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</si>
  <si>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</si>
  <si>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</si>
  <si>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</si>
  <si>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</si>
  <si>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</si>
  <si>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</si>
  <si>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</si>
  <si>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</si>
  <si>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</si>
  <si>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</si>
  <si>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</si>
  <si>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</si>
  <si>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</si>
  <si>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</si>
  <si>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</si>
  <si>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</si>
  <si>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</si>
  <si>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</si>
  <si>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</si>
  <si>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</si>
  <si>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</si>
  <si>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</si>
  <si>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</si>
  <si>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</si>
  <si>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</si>
  <si>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</si>
  <si>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</si>
  <si>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</si>
  <si>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</si>
  <si>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</si>
  <si>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</si>
  <si>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</si>
  <si>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</si>
  <si>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</si>
  <si>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</si>
  <si>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</si>
  <si>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</si>
  <si>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</si>
  <si>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</si>
  <si>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</si>
  <si>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</si>
  <si>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</si>
  <si>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</si>
  <si>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</si>
  <si>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</si>
  <si>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</si>
  <si>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</si>
  <si>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</si>
  <si>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</si>
  <si>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</si>
  <si>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</si>
  <si>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</si>
  <si>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</si>
  <si>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</si>
  <si>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</si>
  <si>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</si>
  <si>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</si>
  <si>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</si>
  <si>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</si>
  <si>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</si>
  <si>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</si>
  <si>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</si>
  <si>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</si>
  <si>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</si>
  <si>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</si>
  <si>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</si>
  <si>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</si>
  <si>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</si>
  <si>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</si>
  <si>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</si>
  <si>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</si>
  <si>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</si>
  <si>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</si>
  <si>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</si>
  <si>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</si>
  <si>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</si>
  <si>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</si>
  <si>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</si>
  <si>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</si>
  <si>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</si>
  <si>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</si>
  <si>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</si>
  <si>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</si>
  <si>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</si>
  <si>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</si>
  <si>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</si>
  <si>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</si>
  <si>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</si>
  <si>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</si>
  <si>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</si>
  <si>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</si>
  <si>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</si>
  <si>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</si>
  <si>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</si>
  <si>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</si>
  <si>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</si>
  <si>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</si>
  <si>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</si>
  <si>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</si>
  <si>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</si>
  <si>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</si>
  <si>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</si>
  <si>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</si>
  <si>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</si>
  <si>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</si>
  <si>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</si>
  <si>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</si>
  <si>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</si>
  <si>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</si>
  <si>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</si>
  <si>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</si>
  <si>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</si>
  <si>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</si>
  <si>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</si>
  <si>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</si>
  <si>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</si>
  <si>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</si>
  <si>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</si>
  <si>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</si>
  <si>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</si>
  <si>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</si>
  <si>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</si>
  <si>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</si>
  <si>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</si>
  <si>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</si>
  <si>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</si>
  <si>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</si>
  <si>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</si>
  <si>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</si>
  <si>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</si>
  <si>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</si>
  <si>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</si>
  <si>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</si>
  <si>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</si>
  <si>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</si>
  <si>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</si>
  <si>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</si>
  <si>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</si>
  <si>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</si>
  <si>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</si>
  <si>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</si>
  <si>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</si>
  <si>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</si>
  <si>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</si>
  <si>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</si>
  <si>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</si>
  <si>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</si>
  <si>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</si>
  <si>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</si>
  <si>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</si>
  <si>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</si>
  <si>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</si>
  <si>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</si>
  <si>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</si>
  <si>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</si>
  <si>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</si>
  <si>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</si>
  <si>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</si>
  <si>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</si>
  <si>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</si>
  <si>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</si>
  <si>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</si>
  <si>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</si>
  <si>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</si>
  <si>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</si>
  <si>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</si>
  <si>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</si>
  <si>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</si>
  <si>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</si>
  <si>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</si>
  <si>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</si>
  <si>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</si>
  <si>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</si>
  <si>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</si>
  <si>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</si>
  <si>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</si>
  <si>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</si>
  <si>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</si>
  <si>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</si>
  <si>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</si>
  <si>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</si>
  <si>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</si>
  <si>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</si>
  <si>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</si>
  <si>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</si>
  <si>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</si>
  <si>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</si>
  <si>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</si>
  <si>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</si>
  <si>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</si>
  <si>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</si>
  <si>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</si>
  <si>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</si>
  <si>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</si>
  <si>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</si>
  <si>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</si>
  <si>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</si>
  <si>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</si>
  <si>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</si>
  <si>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</si>
  <si>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</si>
  <si>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</si>
  <si>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</si>
  <si>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</si>
  <si>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</si>
  <si>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</si>
  <si>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</si>
  <si>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</si>
  <si>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</si>
  <si>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</si>
  <si>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</si>
  <si>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</si>
  <si>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</si>
  <si>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</si>
  <si>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</si>
  <si>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</si>
  <si>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</si>
  <si>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</si>
  <si>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</si>
  <si>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</si>
  <si>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</si>
  <si>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</si>
  <si>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</si>
  <si>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</si>
  <si>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</si>
  <si>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</si>
  <si>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</si>
  <si>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</si>
  <si>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</si>
  <si>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</si>
  <si>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</si>
  <si>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</si>
  <si>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</si>
  <si>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</si>
  <si>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</si>
  <si>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</si>
  <si>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</si>
  <si>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</si>
  <si>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</si>
  <si>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</si>
  <si>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</si>
  <si>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</si>
  <si>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</si>
  <si>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</si>
  <si>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</si>
  <si>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</si>
  <si>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</si>
  <si>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</si>
  <si>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</si>
  <si>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</si>
  <si>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</si>
  <si>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</si>
  <si>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</si>
  <si>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</si>
  <si>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</si>
  <si>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</si>
  <si>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</si>
  <si>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</si>
  <si>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</si>
  <si>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</si>
  <si>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</si>
  <si>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</si>
  <si>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</si>
  <si>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</si>
  <si>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</si>
  <si>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</si>
  <si>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</si>
  <si>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</si>
  <si>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</si>
  <si>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</si>
  <si>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</si>
  <si>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</si>
  <si>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</si>
  <si>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</si>
  <si>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</si>
  <si>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</si>
  <si>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</si>
  <si>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</si>
  <si>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</si>
  <si>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</si>
  <si>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</si>
  <si>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</si>
  <si>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</si>
  <si>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</si>
  <si>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</si>
  <si>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</si>
  <si>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</si>
  <si>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</si>
  <si>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</si>
  <si>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</si>
  <si>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</si>
  <si>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</si>
  <si>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</si>
  <si>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</si>
  <si>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</si>
  <si>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</si>
  <si>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</si>
  <si>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</si>
  <si>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</si>
  <si>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</si>
  <si>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</si>
  <si>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</si>
  <si>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</si>
  <si>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</si>
  <si>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</si>
  <si>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</si>
  <si>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</si>
  <si>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</si>
  <si>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</si>
  <si>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</si>
  <si>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</si>
  <si>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</si>
  <si>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</si>
  <si>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</si>
  <si>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</si>
  <si>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</si>
  <si>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</si>
  <si>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</si>
  <si>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</si>
  <si>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</si>
  <si>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</si>
  <si>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</si>
  <si>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</si>
  <si>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</si>
  <si>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</si>
  <si>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</si>
  <si>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</si>
  <si>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</si>
  <si>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</si>
  <si>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</si>
  <si>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</si>
  <si>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</si>
  <si>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</si>
  <si>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</si>
  <si>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</si>
  <si>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</si>
  <si>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</si>
  <si>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</si>
  <si>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</si>
  <si>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</si>
  <si>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</si>
  <si>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</si>
  <si>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</si>
  <si>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</si>
  <si>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</si>
  <si>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</si>
  <si>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</si>
  <si>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</si>
  <si>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</si>
  <si>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</si>
  <si>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</si>
  <si>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</si>
  <si>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</si>
  <si>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</si>
  <si>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</si>
  <si>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</si>
  <si>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</si>
  <si>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</si>
  <si>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</si>
  <si>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</si>
  <si>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</si>
  <si>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</si>
  <si>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</si>
  <si>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</si>
  <si>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</si>
  <si>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</si>
  <si>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</si>
  <si>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</si>
  <si>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</si>
  <si>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</si>
  <si>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</si>
  <si>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</si>
  <si>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</si>
  <si>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</si>
  <si>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</si>
  <si>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</si>
  <si>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</si>
  <si>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</si>
  <si>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</si>
  <si>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</si>
  <si>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</si>
  <si>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</si>
  <si>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</si>
  <si>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</si>
  <si>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</si>
  <si>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</si>
  <si>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</si>
  <si>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</si>
  <si>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</si>
  <si>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</si>
  <si>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</si>
  <si>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</si>
  <si>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</si>
  <si>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</si>
  <si>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</si>
  <si>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</si>
  <si>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</si>
  <si>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</si>
  <si>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</si>
  <si>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</si>
  <si>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</si>
  <si>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</si>
  <si>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</si>
  <si>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</si>
  <si>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</si>
  <si>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</si>
  <si>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</si>
  <si>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</si>
  <si>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</si>
  <si>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</si>
  <si>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</si>
  <si>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</si>
  <si>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</si>
  <si>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</si>
  <si>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</si>
  <si>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</si>
  <si>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</si>
  <si>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</si>
  <si>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</si>
  <si>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</si>
  <si>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</si>
  <si>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</si>
  <si>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</si>
  <si>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</si>
  <si>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</si>
  <si>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</si>
  <si>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</si>
  <si>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</si>
  <si>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</si>
  <si>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</si>
  <si>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</si>
  <si>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</si>
  <si>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</si>
  <si>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</si>
  <si>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</si>
  <si>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</si>
  <si>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</si>
  <si>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</si>
  <si>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</si>
  <si>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</si>
  <si>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</si>
  <si>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</si>
  <si>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</si>
  <si>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</si>
  <si>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</si>
  <si>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</si>
  <si>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</si>
  <si>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</si>
  <si>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</si>
  <si>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</si>
  <si>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</si>
  <si>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</si>
  <si>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</si>
  <si>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</si>
  <si>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</si>
  <si>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</si>
  <si>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</si>
  <si>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</si>
  <si>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</si>
  <si>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</si>
  <si>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</si>
  <si>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</si>
  <si>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</si>
  <si>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</si>
  <si>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</si>
  <si>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</si>
  <si>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</si>
  <si>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</si>
  <si>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</si>
  <si>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</si>
  <si>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</si>
  <si>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</si>
  <si>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</si>
  <si>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</si>
  <si>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</si>
  <si>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</si>
  <si>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</si>
  <si>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</si>
  <si>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</si>
  <si>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</si>
  <si>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</si>
  <si>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</si>
  <si>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</si>
  <si>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</si>
  <si>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</si>
  <si>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</si>
  <si>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</si>
  <si>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</si>
  <si>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</si>
  <si>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</si>
  <si>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</si>
  <si>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</si>
  <si>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</si>
  <si>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</si>
  <si>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</si>
  <si>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</si>
  <si>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</si>
  <si>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</si>
  <si>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</si>
  <si>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</si>
  <si>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</si>
  <si>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</si>
  <si>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</si>
  <si>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</si>
  <si>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</si>
  <si>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</si>
  <si>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</si>
  <si>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</si>
  <si>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</si>
  <si>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</si>
  <si>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</si>
  <si>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</si>
  <si>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</si>
  <si>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</si>
  <si>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</si>
  <si>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</si>
  <si>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</si>
  <si>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</si>
  <si>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</si>
  <si>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</si>
  <si>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</si>
  <si>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</si>
  <si>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</si>
  <si>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</si>
  <si>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</si>
  <si>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</si>
  <si>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</si>
  <si>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</si>
  <si>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</si>
  <si>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</si>
  <si>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</si>
  <si>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</si>
  <si>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</si>
  <si>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</si>
  <si>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</si>
  <si>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</si>
  <si>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</si>
  <si>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</si>
  <si>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</si>
  <si>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</si>
  <si>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</si>
  <si>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</si>
  <si>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</si>
  <si>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</si>
  <si>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</si>
  <si>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</si>
  <si>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</si>
  <si>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</si>
  <si>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</si>
  <si>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</si>
  <si>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</si>
  <si>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</si>
  <si>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</si>
  <si>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</si>
  <si>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</si>
  <si>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</si>
  <si>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</si>
  <si>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</si>
  <si>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</si>
  <si>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</si>
  <si>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</si>
  <si>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</si>
  <si>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</si>
  <si>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</si>
  <si>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</si>
  <si>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</si>
  <si>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</si>
  <si>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</si>
  <si>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</si>
  <si>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</si>
  <si>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</si>
  <si>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</si>
  <si>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</si>
  <si>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</si>
  <si>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</si>
  <si>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</si>
  <si>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</si>
  <si>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</si>
  <si>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</si>
  <si>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</si>
  <si>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</si>
  <si>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</si>
  <si>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</si>
  <si>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</si>
  <si>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</si>
  <si>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</si>
  <si>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</si>
  <si>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</si>
  <si>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</si>
  <si>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</si>
  <si>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</si>
  <si>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</si>
  <si>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</si>
  <si>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</si>
  <si>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</si>
  <si>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</si>
  <si>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</si>
  <si>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</si>
  <si>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</si>
  <si>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</si>
  <si>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</si>
  <si>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</si>
  <si>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</si>
  <si>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</si>
  <si>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</si>
  <si>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</si>
  <si>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</si>
  <si>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</si>
  <si>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</si>
  <si>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</si>
  <si>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</si>
  <si>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</si>
  <si>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</si>
  <si>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</si>
  <si>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</si>
  <si>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</si>
  <si>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</si>
  <si>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</si>
  <si>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</si>
  <si>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</si>
  <si>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</si>
  <si>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</si>
  <si>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</si>
  <si>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</si>
  <si>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</si>
  <si>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</si>
  <si>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</si>
  <si>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</si>
  <si>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</si>
  <si>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</si>
  <si>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</si>
  <si>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</si>
  <si>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</si>
  <si>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</si>
  <si>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</si>
  <si>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</si>
  <si>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</si>
  <si>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</si>
  <si>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</si>
  <si>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</si>
  <si>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</si>
  <si>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</si>
  <si>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</si>
  <si>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</si>
  <si>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</si>
  <si>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</si>
  <si>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</si>
  <si>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</si>
  <si>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</si>
  <si>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</si>
  <si>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</si>
  <si>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</si>
  <si>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</si>
  <si>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</si>
  <si>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</si>
  <si>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</si>
  <si>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</si>
  <si>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</si>
  <si>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</si>
  <si>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</si>
  <si>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</si>
  <si>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</si>
  <si>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</si>
  <si>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</si>
  <si>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</si>
  <si>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</si>
  <si>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</si>
  <si>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</si>
  <si>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</si>
  <si>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</si>
  <si>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</si>
  <si>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</si>
  <si>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</si>
  <si>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</si>
  <si>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</si>
  <si>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</si>
  <si>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</si>
  <si>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</si>
  <si>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</si>
  <si>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</si>
  <si>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</si>
  <si>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</si>
  <si>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</si>
  <si>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</si>
  <si>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</si>
  <si>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</si>
  <si>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</si>
  <si>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</si>
  <si>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</si>
  <si>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</si>
  <si>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</si>
  <si>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</si>
  <si>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</si>
  <si>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</si>
  <si>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</si>
  <si>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</si>
  <si>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</si>
  <si>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</si>
  <si>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</si>
  <si>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</si>
  <si>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</si>
  <si>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</si>
  <si>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</si>
  <si>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</si>
  <si>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</si>
  <si>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</si>
  <si>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</si>
  <si>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</si>
  <si>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</si>
  <si>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</si>
  <si>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</si>
  <si>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</si>
  <si>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</si>
  <si>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</si>
  <si>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</si>
  <si>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</si>
  <si>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</si>
  <si>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</si>
  <si>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</si>
  <si>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</si>
  <si>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</si>
  <si>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</si>
  <si>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</si>
  <si>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</si>
  <si>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</si>
  <si>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</si>
  <si>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</si>
  <si>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</si>
  <si>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</si>
  <si>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</si>
  <si>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</si>
  <si>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</si>
  <si>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</si>
  <si>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</si>
  <si>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</si>
  <si>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</si>
  <si>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</si>
  <si>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</si>
  <si>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</si>
  <si>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</si>
  <si>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</si>
  <si>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</si>
  <si>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</si>
  <si>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</si>
  <si>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</si>
  <si>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</si>
  <si>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</si>
  <si>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</si>
  <si>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</si>
  <si>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</si>
  <si>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</si>
  <si>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</si>
  <si>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</si>
  <si>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</si>
  <si>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</si>
  <si>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</si>
  <si>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</si>
  <si>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</si>
  <si>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</si>
  <si>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</si>
  <si>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</si>
  <si>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</si>
  <si>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</si>
  <si>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</si>
  <si>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</si>
  <si>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</si>
  <si>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</si>
  <si>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</si>
  <si>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</si>
  <si>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</si>
  <si>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</si>
  <si>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</si>
  <si>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</si>
  <si>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</si>
  <si>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</si>
  <si>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</si>
  <si>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</si>
  <si>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</si>
  <si>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</si>
  <si>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</si>
  <si>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</si>
  <si>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</si>
  <si>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</si>
  <si>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</si>
  <si>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</si>
  <si>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</si>
  <si>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</si>
  <si>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</si>
  <si>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</si>
  <si>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</si>
  <si>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</si>
  <si>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</si>
  <si>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</si>
  <si>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</si>
  <si>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</si>
  <si>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</si>
  <si>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</si>
  <si>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</si>
  <si>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</si>
  <si>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</si>
  <si>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</si>
  <si>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</si>
  <si>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</si>
  <si>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</si>
  <si>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</si>
  <si>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</si>
  <si>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</si>
  <si>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</si>
  <si>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</si>
  <si>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</si>
  <si>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</si>
  <si>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</si>
  <si>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</si>
  <si>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</si>
  <si>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</si>
  <si>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</si>
  <si>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</si>
  <si>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</si>
  <si>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</si>
  <si>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</si>
  <si>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</si>
  <si>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</si>
  <si>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</si>
  <si>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</si>
  <si>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</si>
  <si>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</si>
  <si>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</si>
  <si>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</si>
  <si>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</si>
  <si>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</si>
  <si>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</si>
  <si>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</si>
  <si>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</si>
  <si>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</si>
  <si>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</si>
  <si>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</si>
  <si>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</si>
  <si>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</si>
  <si>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</si>
  <si>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</si>
  <si>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</si>
  <si>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</si>
  <si>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</si>
  <si>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</si>
  <si>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</si>
  <si>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</si>
  <si>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</si>
  <si>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</si>
  <si>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</si>
  <si>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</si>
  <si>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</si>
  <si>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</si>
  <si>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</si>
  <si>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</si>
  <si>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</si>
  <si>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</si>
  <si>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</si>
  <si>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</si>
  <si>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</si>
  <si>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</si>
  <si>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</si>
  <si>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</si>
  <si>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</si>
  <si>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</si>
  <si>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</si>
  <si>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</si>
  <si>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</si>
  <si>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</si>
  <si>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</si>
  <si>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</si>
  <si>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</si>
  <si>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</si>
  <si>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</si>
  <si>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</si>
  <si>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</si>
  <si>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</si>
  <si>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</si>
  <si>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</si>
  <si>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</si>
  <si>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</si>
  <si>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</si>
  <si>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</si>
  <si>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</si>
  <si>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</si>
  <si>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</si>
  <si>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</si>
  <si>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</si>
  <si>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</si>
  <si>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</si>
  <si>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</si>
  <si>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</si>
  <si>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</si>
  <si>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</si>
  <si>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</si>
  <si>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</si>
  <si>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</si>
  <si>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</si>
  <si>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</si>
  <si>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</si>
  <si>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</si>
  <si>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</si>
  <si>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</si>
  <si>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</si>
  <si>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</si>
  <si>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</si>
  <si>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</si>
  <si>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</si>
  <si>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</si>
  <si>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</si>
  <si>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</si>
  <si>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</si>
  <si>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</si>
  <si>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</si>
  <si>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</si>
  <si>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</si>
  <si>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</si>
  <si>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</si>
  <si>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</si>
  <si>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</si>
  <si>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</si>
  <si>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</si>
  <si>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</si>
  <si>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</si>
  <si>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</si>
  <si>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</si>
  <si>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</si>
  <si>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</si>
  <si>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</si>
  <si>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</si>
  <si>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</si>
  <si>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</si>
  <si>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</si>
  <si>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</si>
  <si>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</si>
  <si>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</si>
  <si>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</si>
  <si>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</si>
  <si>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</si>
  <si>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</si>
  <si>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</si>
  <si>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</si>
  <si>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</si>
  <si>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</si>
  <si>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</si>
  <si>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</si>
  <si>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</si>
  <si>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</si>
  <si>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</si>
  <si>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</si>
  <si>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</si>
  <si>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</si>
  <si>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</si>
  <si>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</si>
  <si>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</si>
  <si>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</si>
  <si>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</si>
  <si>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</si>
  <si>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</si>
  <si>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</si>
  <si>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</si>
  <si>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</si>
  <si>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</si>
  <si>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</si>
  <si>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</si>
  <si>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</si>
  <si>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</si>
  <si>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</si>
  <si>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</si>
  <si>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</si>
  <si>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</si>
  <si>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</si>
  <si>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</si>
  <si>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</si>
  <si>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</si>
  <si>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</si>
  <si>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</si>
  <si>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</si>
  <si>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</si>
  <si>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</si>
  <si>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</si>
  <si>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</si>
  <si>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</si>
  <si>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</si>
  <si>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</si>
  <si>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</si>
  <si>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</si>
  <si>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</si>
  <si>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</si>
  <si>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</si>
  <si>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</si>
  <si>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</si>
  <si>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</si>
  <si>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</si>
  <si>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</si>
  <si>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</si>
  <si>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</si>
  <si>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</si>
  <si>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</si>
  <si>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</si>
  <si>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</si>
  <si>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</si>
  <si>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</si>
  <si>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</si>
  <si>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</si>
  <si>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</si>
  <si>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</si>
  <si>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</si>
  <si>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</si>
  <si>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</si>
  <si>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</si>
  <si>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</si>
  <si>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</si>
  <si>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</si>
  <si>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</si>
  <si>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</si>
  <si>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</si>
  <si>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</si>
  <si>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</si>
  <si>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</si>
  <si>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</si>
  <si>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</si>
  <si>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</si>
  <si>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</si>
  <si>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</si>
  <si>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</si>
  <si>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</si>
  <si>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</si>
  <si>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</si>
  <si>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</si>
  <si>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</si>
  <si>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</si>
  <si>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</si>
  <si>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</si>
  <si>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</si>
  <si>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</si>
  <si>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</si>
  <si>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</si>
  <si>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</si>
  <si>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</si>
  <si>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</si>
  <si>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</si>
  <si>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</si>
  <si>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</si>
  <si>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</si>
  <si>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</si>
  <si>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</si>
  <si>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</si>
  <si>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</si>
  <si>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</si>
  <si>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</si>
  <si>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</si>
  <si>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</si>
  <si>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</si>
  <si>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</si>
  <si>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</si>
  <si>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</si>
  <si>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</si>
  <si>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</si>
  <si>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</si>
  <si>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</si>
  <si>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</si>
  <si>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</si>
  <si>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</si>
  <si>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</si>
  <si>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</si>
  <si>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</si>
  <si>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</si>
  <si>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</si>
  <si>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</si>
  <si>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</si>
  <si>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</si>
  <si>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</si>
  <si>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</si>
  <si>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</si>
  <si>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</si>
  <si>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</si>
  <si>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</si>
  <si>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</si>
  <si>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</si>
  <si>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</si>
  <si>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</si>
  <si>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</si>
  <si>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</si>
  <si>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</si>
  <si>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</si>
  <si>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</si>
  <si>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</si>
  <si>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</si>
  <si>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</si>
  <si>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</si>
  <si>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</si>
  <si>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</si>
  <si>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</si>
  <si>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</si>
  <si>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</si>
  <si>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</si>
  <si>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</si>
  <si>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</si>
  <si>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</si>
  <si>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</si>
  <si>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</si>
  <si>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</si>
  <si>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</si>
  <si>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</si>
  <si>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</si>
  <si>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</si>
  <si>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</si>
  <si>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</si>
  <si>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</si>
  <si>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</si>
  <si>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</si>
  <si>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</si>
  <si>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</si>
  <si>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</si>
  <si>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</si>
  <si>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</si>
  <si>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</si>
  <si>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</si>
  <si>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</si>
  <si>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</si>
  <si>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</si>
  <si>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</si>
  <si>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</si>
  <si>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</si>
  <si>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</si>
  <si>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</si>
  <si>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</si>
  <si>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</si>
  <si>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</si>
  <si>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</si>
  <si>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</si>
  <si>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</si>
  <si>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</si>
  <si>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</si>
  <si>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</si>
  <si>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</si>
  <si>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</si>
  <si>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</si>
  <si>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</si>
  <si>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</si>
  <si>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</si>
  <si>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</si>
  <si>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</si>
  <si>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</si>
  <si>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</si>
  <si>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</si>
  <si>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</si>
  <si>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</si>
  <si>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</si>
  <si>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</si>
  <si>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</si>
  <si>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</si>
  <si>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</si>
  <si>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</si>
  <si>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</si>
  <si>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</si>
  <si>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</si>
  <si>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</si>
  <si>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</si>
  <si>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</si>
  <si>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</si>
  <si>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</si>
  <si>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</si>
  <si>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</si>
  <si>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</si>
  <si>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</si>
  <si>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</si>
  <si>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</si>
  <si>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</si>
  <si>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</si>
  <si>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</si>
  <si>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</si>
  <si>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</si>
  <si>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</si>
  <si>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</si>
  <si>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</si>
  <si>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</si>
  <si>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</si>
  <si>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</si>
  <si>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</si>
  <si>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</si>
  <si>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</si>
  <si>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</si>
  <si>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</si>
  <si>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</si>
  <si>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</si>
  <si>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</si>
  <si>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</si>
  <si>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</si>
  <si>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</si>
  <si>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</si>
  <si>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</si>
  <si>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</si>
  <si>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</si>
  <si>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</si>
  <si>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</si>
  <si>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</si>
  <si>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</si>
  <si>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</si>
  <si>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</si>
  <si>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</si>
  <si>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</si>
  <si>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</si>
  <si>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</si>
  <si>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</si>
  <si>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</si>
  <si>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</si>
  <si>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</si>
  <si>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</si>
  <si>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</si>
  <si>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</si>
  <si>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</si>
  <si>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</si>
  <si>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</si>
  <si>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</si>
  <si>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</si>
  <si>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</si>
  <si>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</si>
  <si>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</si>
  <si>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</si>
  <si>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</si>
  <si>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</si>
  <si>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</si>
  <si>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</si>
  <si>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</si>
  <si>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</si>
  <si>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</si>
  <si>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</si>
  <si>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</si>
  <si>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</si>
  <si>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</si>
  <si>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</si>
  <si>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</si>
  <si>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</si>
  <si>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</si>
  <si>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</si>
  <si>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</si>
  <si>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</si>
  <si>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</si>
  <si>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</si>
  <si>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</si>
  <si>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</si>
  <si>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</si>
  <si>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</si>
  <si>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</si>
  <si>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</si>
  <si>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</si>
  <si>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</si>
  <si>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</si>
  <si>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</si>
  <si>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</si>
  <si>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</si>
  <si>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</si>
  <si>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</si>
  <si>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</si>
  <si>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</si>
  <si>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</si>
  <si>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</si>
  <si>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</si>
  <si>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</si>
  <si>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</si>
  <si>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</si>
  <si>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</si>
  <si>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</si>
  <si>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</si>
  <si>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</si>
  <si>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</si>
  <si>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</si>
  <si>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</si>
  <si>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</si>
  <si>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</si>
  <si>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</si>
  <si>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</si>
  <si>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</si>
  <si>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</si>
  <si>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</si>
  <si>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</si>
  <si>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</si>
  <si>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</si>
  <si>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</si>
  <si>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</si>
  <si>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</si>
  <si>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</si>
  <si>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</si>
  <si>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</si>
  <si>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</si>
  <si>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</si>
  <si>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</si>
  <si>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</si>
  <si>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</si>
  <si>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</si>
  <si>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</si>
  <si>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</si>
  <si>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</si>
  <si>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</si>
  <si>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</si>
  <si>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</si>
  <si>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</si>
  <si>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</si>
  <si>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</si>
  <si>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</si>
  <si>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</si>
  <si>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</si>
  <si>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</si>
  <si>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</si>
  <si>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</si>
  <si>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</si>
  <si>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</si>
  <si>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</si>
  <si>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</si>
  <si>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</si>
  <si>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</si>
  <si>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</si>
  <si>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</si>
  <si>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</si>
  <si>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</si>
  <si>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</si>
  <si>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</si>
  <si>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</si>
  <si>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</si>
  <si>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</si>
  <si>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</si>
  <si>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</si>
  <si>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</si>
  <si>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</si>
  <si>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</si>
  <si>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</si>
  <si>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</si>
  <si>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</si>
  <si>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</si>
  <si>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</si>
  <si>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</si>
  <si>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</si>
  <si>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</si>
  <si>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</si>
  <si>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</si>
  <si>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</si>
  <si>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</si>
  <si>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</si>
  <si>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</si>
  <si>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</si>
  <si>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</si>
  <si>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</si>
  <si>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</si>
  <si>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</si>
  <si>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</si>
  <si>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</si>
  <si>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</si>
  <si>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</si>
  <si>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</si>
  <si>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</si>
  <si>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</si>
  <si>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</si>
  <si>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</si>
  <si>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</si>
  <si>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</si>
  <si>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</si>
  <si>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</si>
  <si>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</si>
  <si>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</si>
  <si>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</si>
  <si>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</si>
  <si>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</si>
  <si>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</si>
  <si>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</si>
  <si>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</si>
  <si>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</si>
  <si>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</si>
  <si>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</si>
  <si>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</si>
  <si>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</si>
  <si>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</si>
  <si>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</si>
  <si>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</si>
  <si>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</si>
  <si>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</si>
  <si>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</si>
  <si>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</si>
  <si>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</si>
  <si>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</si>
  <si>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</si>
  <si>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</si>
  <si>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</si>
  <si>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</si>
  <si>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</si>
  <si>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</si>
  <si>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</si>
  <si>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</si>
  <si>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</si>
  <si>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</si>
  <si>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</si>
  <si>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</si>
  <si>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</si>
  <si>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</si>
  <si>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</si>
  <si>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</si>
  <si>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</si>
  <si>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</si>
  <si>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</si>
  <si>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</si>
  <si>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</si>
  <si>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</si>
  <si>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</si>
  <si>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</si>
  <si>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</si>
  <si>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</si>
  <si>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</si>
  <si>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</si>
  <si>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</si>
  <si>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</si>
  <si>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</si>
  <si>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</si>
  <si>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</si>
  <si>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</si>
  <si>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</si>
  <si>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</si>
  <si>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</si>
  <si>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</si>
  <si>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</si>
  <si>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</si>
  <si>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</si>
  <si>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</si>
  <si>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</si>
  <si>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</si>
  <si>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</si>
  <si>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</si>
  <si>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</si>
  <si>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</si>
  <si>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</si>
  <si>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</si>
  <si>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</si>
  <si>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</si>
  <si>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</si>
  <si>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</si>
  <si>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</si>
  <si>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</si>
  <si>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</si>
  <si>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</si>
  <si>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</si>
  <si>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</si>
  <si>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</si>
  <si>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</si>
  <si>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</si>
  <si>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</si>
  <si>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</si>
  <si>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</si>
  <si>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</si>
  <si>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</si>
  <si>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</si>
  <si>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</si>
  <si>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</si>
  <si>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</si>
  <si>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</si>
  <si>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</si>
  <si>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</si>
  <si>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</si>
  <si>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</si>
  <si>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</si>
  <si>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</si>
  <si>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</si>
  <si>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</si>
  <si>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</si>
  <si>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</si>
  <si>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</si>
  <si>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</si>
  <si>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</si>
  <si>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</si>
  <si>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</si>
  <si>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</si>
  <si>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</si>
  <si>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</si>
  <si>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</si>
  <si>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</si>
  <si>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</si>
  <si>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</si>
  <si>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</si>
  <si>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</si>
  <si>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</si>
  <si>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</si>
  <si>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</si>
  <si>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</si>
  <si>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</si>
  <si>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</si>
  <si>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</si>
  <si>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</si>
  <si>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</si>
  <si>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</si>
  <si>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</si>
  <si>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</si>
  <si>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</si>
  <si>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</si>
  <si>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</si>
  <si>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</si>
  <si>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</si>
  <si>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</si>
  <si>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</si>
  <si>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</si>
  <si>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</si>
  <si>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</si>
  <si>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</si>
  <si>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</si>
  <si>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</si>
  <si>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</si>
  <si>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</si>
  <si>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</si>
  <si>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</si>
  <si>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</si>
  <si>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</si>
  <si>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</si>
  <si>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</si>
  <si>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</si>
  <si>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</si>
  <si>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</si>
  <si>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</si>
  <si>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</si>
  <si>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</si>
  <si>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</si>
  <si>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</si>
  <si>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</si>
  <si>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</si>
  <si>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</si>
  <si>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</si>
  <si>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</si>
  <si>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</si>
  <si>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</si>
  <si>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</si>
  <si>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</si>
  <si>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</si>
  <si>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</si>
  <si>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</si>
  <si>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</si>
  <si>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</si>
  <si>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</si>
  <si>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</si>
  <si>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</si>
  <si>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</si>
  <si>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</si>
  <si>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</si>
  <si>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</si>
  <si>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</si>
  <si>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</si>
  <si>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</si>
  <si>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</si>
  <si>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</si>
  <si>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</si>
  <si>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</si>
  <si>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</si>
  <si>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</si>
  <si>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</si>
  <si>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</si>
  <si>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</si>
  <si>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</si>
  <si>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</si>
  <si>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</si>
  <si>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</si>
  <si>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</si>
  <si>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</si>
  <si>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</si>
  <si>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</si>
  <si>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</si>
  <si>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</si>
  <si>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</si>
  <si>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</si>
  <si>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</si>
  <si>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</si>
  <si>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</si>
  <si>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</si>
  <si>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</si>
  <si>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</si>
  <si>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</si>
  <si>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</si>
  <si>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</si>
  <si>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</si>
  <si>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</si>
  <si>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</si>
  <si>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</si>
  <si>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</si>
  <si>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</si>
  <si>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</si>
  <si>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</si>
  <si>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</si>
  <si>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</si>
  <si>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</si>
  <si>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</si>
  <si>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</si>
  <si>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</si>
  <si>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</si>
  <si>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</si>
  <si>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</si>
  <si>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</si>
  <si>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</si>
  <si>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</si>
  <si>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</si>
  <si>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</si>
  <si>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</si>
  <si>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</si>
  <si>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</si>
  <si>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</si>
  <si>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</si>
  <si>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</si>
  <si>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</si>
  <si>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</si>
  <si>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</si>
  <si>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</si>
  <si>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</si>
  <si>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</si>
  <si>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</si>
  <si>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</si>
  <si>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</si>
  <si>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</si>
  <si>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</si>
  <si>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</si>
  <si>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</si>
  <si>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</si>
  <si>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</si>
  <si>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</si>
  <si>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</si>
  <si>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</si>
  <si>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</si>
  <si>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</si>
  <si>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</si>
  <si>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</si>
  <si>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</si>
  <si>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</si>
  <si>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</si>
  <si>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</si>
  <si>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</si>
  <si>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</si>
  <si>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</si>
  <si>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</si>
  <si>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</si>
  <si>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</si>
  <si>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</si>
  <si>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</si>
  <si>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</si>
  <si>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</si>
  <si>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</si>
  <si>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</si>
  <si>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</si>
  <si>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</si>
  <si>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</si>
  <si>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</si>
  <si>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</si>
  <si>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</si>
  <si>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</si>
  <si>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</si>
  <si>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</si>
  <si>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</si>
  <si>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</si>
  <si>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</si>
  <si>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</si>
  <si>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</si>
  <si>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</si>
  <si>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</si>
  <si>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</si>
  <si>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</si>
  <si>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</si>
  <si>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</si>
  <si>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</si>
  <si>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</si>
  <si>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</si>
  <si>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</si>
  <si>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</si>
  <si>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</si>
  <si>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</si>
  <si>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</si>
  <si>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</si>
  <si>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</si>
  <si>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</si>
  <si>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</si>
  <si>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</si>
  <si>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</si>
  <si>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</si>
  <si>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</si>
  <si>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</si>
  <si>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</si>
  <si>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</si>
  <si>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</si>
  <si>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</si>
  <si>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</si>
  <si>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</si>
  <si>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</si>
  <si>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</si>
  <si>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</si>
  <si>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</si>
  <si>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</si>
  <si>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</si>
  <si>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</si>
  <si>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</si>
  <si>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</si>
  <si>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</si>
  <si>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</si>
  <si>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</si>
  <si>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</si>
  <si>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</si>
  <si>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</si>
  <si>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</si>
  <si>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</si>
  <si>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</si>
  <si>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</si>
  <si>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</si>
  <si>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</si>
  <si>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</si>
  <si>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</si>
  <si>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</si>
  <si>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</si>
  <si>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</si>
  <si>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</si>
  <si>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</si>
  <si>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</si>
  <si>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</si>
  <si>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</si>
  <si>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</si>
  <si>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</si>
  <si>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</si>
  <si>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</si>
  <si>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</si>
  <si>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</si>
  <si>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</si>
  <si>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</si>
  <si>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</si>
  <si>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</si>
  <si>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</si>
  <si>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</si>
  <si>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</si>
  <si>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</si>
  <si>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</si>
  <si>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</si>
  <si>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</si>
  <si>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</si>
  <si>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</si>
  <si>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</si>
  <si>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</si>
  <si>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</si>
  <si>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</si>
  <si>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</si>
  <si>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</si>
  <si>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</si>
  <si>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</si>
  <si>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</si>
  <si>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</si>
  <si>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</si>
  <si>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</si>
  <si>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</si>
  <si>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</si>
  <si>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</si>
  <si>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</si>
  <si>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</si>
  <si>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</si>
  <si>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</si>
  <si>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</si>
  <si>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</si>
  <si>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</si>
  <si>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</si>
  <si>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</si>
  <si>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</si>
  <si>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</si>
  <si>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</si>
  <si>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</si>
  <si>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</si>
  <si>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</si>
  <si>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</si>
  <si>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</si>
  <si>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</si>
  <si>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</si>
  <si>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</si>
  <si>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</si>
  <si>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</si>
  <si>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</si>
  <si>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</si>
  <si>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</si>
  <si>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</si>
  <si>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</si>
  <si>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</si>
  <si>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</si>
  <si>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</si>
  <si>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</si>
  <si>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</si>
  <si>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</si>
  <si>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</si>
  <si>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</si>
  <si>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</si>
  <si>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</si>
  <si>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</si>
  <si>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</si>
  <si>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</si>
  <si>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</si>
  <si>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</si>
  <si>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</si>
  <si>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</si>
  <si>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</si>
  <si>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</si>
  <si>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</si>
  <si>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</si>
  <si>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</si>
  <si>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</si>
  <si>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</si>
  <si>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</si>
  <si>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</si>
  <si>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</si>
  <si>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</si>
  <si>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</si>
  <si>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</si>
  <si>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</si>
  <si>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</si>
  <si>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</si>
  <si>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</si>
  <si>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</si>
  <si>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</si>
  <si>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</si>
  <si>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</si>
  <si>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</si>
  <si>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</si>
  <si>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</si>
  <si>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</si>
  <si>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</si>
  <si>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</si>
  <si>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</si>
  <si>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</si>
  <si>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</si>
  <si>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</si>
  <si>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</si>
  <si>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</si>
  <si>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</si>
  <si>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</si>
  <si>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</si>
  <si>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</si>
  <si>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</si>
  <si>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</si>
  <si>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</si>
  <si>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</si>
  <si>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</si>
  <si>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</si>
  <si>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</si>
  <si>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</si>
  <si>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</si>
  <si>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</si>
  <si>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</si>
  <si>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</si>
  <si>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</si>
  <si>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</si>
  <si>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</si>
  <si>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</si>
  <si>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</si>
  <si>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</si>
  <si>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</si>
  <si>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</si>
  <si>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</si>
  <si>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</si>
  <si>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</si>
  <si>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</si>
  <si>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</si>
  <si>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</si>
  <si>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</si>
  <si>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</si>
  <si>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</si>
  <si>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</si>
  <si>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</si>
  <si>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</si>
  <si>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</si>
  <si>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</si>
  <si>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</si>
  <si>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</si>
  <si>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</si>
  <si>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</si>
  <si>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</si>
  <si>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</si>
  <si>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</si>
  <si>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</si>
  <si>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</si>
  <si>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</si>
  <si>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</si>
  <si>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</si>
  <si>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</si>
  <si>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</si>
  <si>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</si>
  <si>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</si>
  <si>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</si>
  <si>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</si>
  <si>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</si>
  <si>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</si>
  <si>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</si>
  <si>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</si>
  <si>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</si>
  <si>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</si>
  <si>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</si>
  <si>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</si>
  <si>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</si>
  <si>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</si>
  <si>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</si>
  <si>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</si>
  <si>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</si>
  <si>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</si>
  <si>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</si>
  <si>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</si>
  <si>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</si>
  <si>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</si>
  <si>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</si>
  <si>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</si>
  <si>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</si>
  <si>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</si>
  <si>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</si>
  <si>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</si>
  <si>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</si>
  <si>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</si>
  <si>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</si>
  <si>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</si>
  <si>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</si>
  <si>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</si>
  <si>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</si>
  <si>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</si>
  <si>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</si>
  <si>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</si>
  <si>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</si>
  <si>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</si>
  <si>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</si>
  <si>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</si>
  <si>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</si>
  <si>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</si>
  <si>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</si>
  <si>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</si>
  <si>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</si>
  <si>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</si>
  <si>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</si>
  <si>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</si>
  <si>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</si>
  <si>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</si>
  <si>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</si>
  <si>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</si>
  <si>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</si>
  <si>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</si>
  <si>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</si>
  <si>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</si>
  <si>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</si>
  <si>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</si>
  <si>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</si>
  <si>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</si>
  <si>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</si>
  <si>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</si>
  <si>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</si>
  <si>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</si>
  <si>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</si>
  <si>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</si>
  <si>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</si>
  <si>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</si>
  <si>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</si>
  <si>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</si>
  <si>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</si>
  <si>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</si>
  <si>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</si>
  <si>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</si>
  <si>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</si>
  <si>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</si>
  <si>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</si>
  <si>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</si>
  <si>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</si>
  <si>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</si>
  <si>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</si>
  <si>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</si>
  <si>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</si>
  <si>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</si>
  <si>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</si>
  <si>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</si>
  <si>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</si>
  <si>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</si>
  <si>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</si>
  <si>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</si>
  <si>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</si>
  <si>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</si>
  <si>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</si>
  <si>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</si>
  <si>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</si>
  <si>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</si>
  <si>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</si>
  <si>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</si>
  <si>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</si>
  <si>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</si>
  <si>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</si>
  <si>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</si>
  <si>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</si>
  <si>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</si>
  <si>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</si>
  <si>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</si>
  <si>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</si>
  <si>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</si>
  <si>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</si>
  <si>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</si>
  <si>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</si>
  <si>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</si>
  <si>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</si>
  <si>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</si>
  <si>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</si>
  <si>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</si>
  <si>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</si>
  <si>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</si>
  <si>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</si>
  <si>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</si>
  <si>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</si>
  <si>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</si>
  <si>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</si>
  <si>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</si>
  <si>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</si>
  <si>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</si>
  <si>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</si>
  <si>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</si>
  <si>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</si>
  <si>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</si>
  <si>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</si>
  <si>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</si>
  <si>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</si>
  <si>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</si>
  <si>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</si>
  <si>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</si>
  <si>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</si>
  <si>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</si>
  <si>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</si>
  <si>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</si>
  <si>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</si>
  <si>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</si>
  <si>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</si>
  <si>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</si>
  <si>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</si>
  <si>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</si>
  <si>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</si>
  <si>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</si>
  <si>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</si>
  <si>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</si>
  <si>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</si>
  <si>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</si>
  <si>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</si>
  <si>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</si>
  <si>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</si>
  <si>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</si>
  <si>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</si>
  <si>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</si>
  <si>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</si>
  <si>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</si>
  <si>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</si>
  <si>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</si>
  <si>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</si>
  <si>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</si>
  <si>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</si>
  <si>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</si>
  <si>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</si>
  <si>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</si>
  <si>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</si>
  <si>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</si>
  <si>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</si>
  <si>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</si>
  <si>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</si>
  <si>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</si>
  <si>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</si>
  <si>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</si>
  <si>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</si>
  <si>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</si>
  <si>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</si>
  <si>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</si>
  <si>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</si>
  <si>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</si>
  <si>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</si>
  <si>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</si>
  <si>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</si>
  <si>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</si>
  <si>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</si>
  <si>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</si>
  <si>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</si>
  <si>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</si>
  <si>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</si>
  <si>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</si>
  <si>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</si>
  <si>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</si>
  <si>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</si>
  <si>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</si>
  <si>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</si>
  <si>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</si>
  <si>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</si>
  <si>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</si>
  <si>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</si>
  <si>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</si>
  <si>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</si>
  <si>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</si>
  <si>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</si>
  <si>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</si>
  <si>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</si>
  <si>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</si>
  <si>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</si>
  <si>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</si>
  <si>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</si>
  <si>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</si>
  <si>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</si>
  <si>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</si>
  <si>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</si>
  <si>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</si>
  <si>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</si>
  <si>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</si>
  <si>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</si>
  <si>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</si>
  <si>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</si>
  <si>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</si>
  <si>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</si>
  <si>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</si>
  <si>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</si>
  <si>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</si>
  <si>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</si>
  <si>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</si>
  <si>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</si>
  <si>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</si>
  <si>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</si>
  <si>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</si>
  <si>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</si>
  <si>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</si>
  <si>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</si>
  <si>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</si>
  <si>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</si>
  <si>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</si>
  <si>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</si>
  <si>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</si>
  <si>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</si>
  <si>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</si>
  <si>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</si>
  <si>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</si>
  <si>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</si>
  <si>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</si>
  <si>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</si>
  <si>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</si>
  <si>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</si>
  <si>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</si>
  <si>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</si>
  <si>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</si>
  <si>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</si>
  <si>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</si>
  <si>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</si>
  <si>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</si>
  <si>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</si>
  <si>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</si>
  <si>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</si>
  <si>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</si>
  <si>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</si>
  <si>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</si>
  <si>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</si>
  <si>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</si>
  <si>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</si>
  <si>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</si>
  <si>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</si>
  <si>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</si>
  <si>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</si>
  <si>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</si>
  <si>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</si>
  <si>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</si>
  <si>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</si>
  <si>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</si>
  <si>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</si>
  <si>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</si>
  <si>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</si>
  <si>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</si>
  <si>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</si>
  <si>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</si>
  <si>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</si>
  <si>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</si>
  <si>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</si>
  <si>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</si>
  <si>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</si>
  <si>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</si>
  <si>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</si>
  <si>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</si>
  <si>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</si>
  <si>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</si>
  <si>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</si>
  <si>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</si>
  <si>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</si>
  <si>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</si>
  <si>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</si>
  <si>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</si>
  <si>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</si>
  <si>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</si>
  <si>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</si>
  <si>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</si>
  <si>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</si>
  <si>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</si>
  <si>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</si>
  <si>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</si>
  <si>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</si>
  <si>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</si>
  <si>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</si>
  <si>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</si>
  <si>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</si>
  <si>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</si>
  <si>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</si>
  <si>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</si>
  <si>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</si>
  <si>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</si>
  <si>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</si>
  <si>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</si>
  <si>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</si>
  <si>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</si>
  <si>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</si>
  <si>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diesel_Faur_A20DP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</si>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</sst>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15" xfId="0" applyBorder="1" applyAlignment="1">
      <alignment wrapText="1"/>
    </xf>
    <xf numFmtId="0" fontId="0" fillId="0" borderId="18" xfId="0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6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 style="thin">
          <color auto="1"/>
        </left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66">
      <pivotArea field="3" type="button" dataOnly="0" labelOnly="1" outline="0" axis="axisCol" fieldPosition="0"/>
    </format>
    <format dxfId="165">
      <pivotArea field="8" type="button" dataOnly="0" labelOnly="1" outline="0" axis="axisPage" fieldPosition="2"/>
    </format>
    <format dxfId="16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63">
      <pivotArea field="3" type="button" dataOnly="0" labelOnly="1" outline="0" axis="axisCol" fieldPosition="0"/>
    </format>
    <format dxfId="162">
      <pivotArea field="8" type="button" dataOnly="0" labelOnly="1" outline="0"/>
    </format>
    <format dxfId="16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60">
      <pivotArea field="3" type="button" dataOnly="0" labelOnly="1" outline="0" axis="axisCol" fieldPosition="0"/>
    </format>
    <format dxfId="159">
      <pivotArea field="15" type="button" dataOnly="0" labelOnly="1" outline="0" axis="axisPage" fieldPosition="2"/>
    </format>
    <format dxfId="15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57">
      <pivotArea field="3" type="button" dataOnly="0" labelOnly="1" outline="0" axis="axisCol" fieldPosition="0"/>
    </format>
    <format dxfId="156">
      <pivotArea field="9" type="button" dataOnly="0" labelOnly="1" outline="0" axis="axisPage" fieldPosition="1"/>
    </format>
    <format dxfId="155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54">
      <pivotArea field="3" type="button" dataOnly="0" labelOnly="1" outline="0" axis="axisCol" fieldPosition="0"/>
    </format>
    <format dxfId="153">
      <pivotArea field="16" type="button" dataOnly="0" labelOnly="1" outline="0" axis="axisPage" fieldPosition="2"/>
    </format>
    <format dxfId="152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51">
      <pivotArea field="3" type="button" dataOnly="0" labelOnly="1" outline="0" axis="axisCol" fieldPosition="0"/>
    </format>
    <format dxfId="150">
      <pivotArea field="12" type="button" dataOnly="0" labelOnly="1" outline="0" axis="axisPage" fieldPosition="2"/>
    </format>
    <format dxfId="14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48">
      <pivotArea field="3" type="button" dataOnly="0" labelOnly="1" outline="0" axis="axisCol" fieldPosition="0"/>
    </format>
    <format dxfId="147">
      <pivotArea field="12" type="button" dataOnly="0" labelOnly="1" outline="0"/>
    </format>
    <format dxfId="146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45">
      <pivotArea field="3" type="button" dataOnly="0" labelOnly="1" outline="0" axis="axisCol" fieldPosition="0"/>
    </format>
    <format dxfId="144">
      <pivotArea field="11" type="button" dataOnly="0" labelOnly="1" outline="0" axis="axisPage" fieldPosition="2"/>
    </format>
    <format dxfId="14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42">
      <pivotArea field="3" type="button" dataOnly="0" labelOnly="1" outline="0" axis="axisCol" fieldPosition="0"/>
    </format>
    <format dxfId="141">
      <pivotArea field="10" type="button" dataOnly="0" labelOnly="1" outline="0" axis="axisPage" fieldPosition="2"/>
    </format>
    <format dxfId="14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45" totalsRowShown="0" headerRowDxfId="226">
  <autoFilter ref="A1:R1045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25">
      <calculatedColumnFormula>_xlfn.TEXTAFTER(CONTROL[[#This Row],[VEHIDCODE]],"_")</calculatedColumnFormula>
    </tableColumn>
    <tableColumn id="3" xr3:uid="{58AEBD72-A51F-449B-AF75-94BF72F5E83B}" name="SAVE_TO" dataDxfId="224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23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22"/>
    <tableColumn id="17" xr3:uid="{52550B53-5A6E-4D0B-A358-FCA22B56CC77}" name="WEB"/>
    <tableColumn id="15" xr3:uid="{C9DBDDFF-A526-4383-A426-8408C4B17785}" name="IS_POWERED_UNPOWERED_SUNDRY" dataDxfId="22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20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19">
      <calculatedColumnFormula>ISNUMBER(_xlfn.XMATCH(CONTROL[[#This Row],[VEHIDCODE]],TRACK_TYPES[VEHIDCODE],0))</calculatedColumnFormula>
    </tableColumn>
    <tableColumn id="14" xr3:uid="{222C2DB1-CA5D-4369-995A-6A316AC5C947}" name="PROPERTIES" dataDxfId="218">
      <calculatedColumnFormula>ISNUMBER(_xlfn.XMATCH(CONTROL[[#This Row],[VEHIDCODE]],PROPERTIES[VEHIDCODE],0))</calculatedColumnFormula>
    </tableColumn>
    <tableColumn id="13" xr3:uid="{473FD571-A166-4EC8-8B7B-F1D30044570B}" name="FLAGS" dataDxfId="217">
      <calculatedColumnFormula>ISNUMBER(_xlfn.XMATCH(CONTROL[[#This Row],[VEHIDCODE]],FLAGS[VEHIDCODE],0))</calculatedColumnFormula>
    </tableColumn>
    <tableColumn id="11" xr3:uid="{B1BAE31E-1DA6-4159-9020-DBAE19ECF7C3}" name="ROSTER" dataDxfId="216">
      <calculatedColumnFormula>ISNUMBER(_xlfn.XLOOKUP(CONTROL[[#This Row],[VEHIDCODE]],roster!A:A,roster!D:D))</calculatedColumnFormula>
    </tableColumn>
    <tableColumn id="10" xr3:uid="{7783F713-60B4-45CF-AEB3-EE02271B3D6F}" name="GRAPHICS_PROPERTIES" dataDxfId="215">
      <calculatedColumnFormula>ISNUMBER(_xlfn.XMATCH(CONTROL[[#This Row],[VEHIDCODE]],GRAPHICS_PROPERTIES[VEHIDCODE],0))</calculatedColumnFormula>
    </tableColumn>
    <tableColumn id="9" xr3:uid="{7B229E25-CF6B-4C5F-B4A4-FEC34CB93E9B}" name="ITEM" dataDxfId="214">
      <calculatedColumnFormula>"item_"&amp;CONTROL[[#This Row],[VEHIDCODE]]</calculatedColumnFormula>
    </tableColumn>
    <tableColumn id="8" xr3:uid="{327E5CDA-51AE-4721-ACBD-5E8C3D890998}" name="NAME" dataDxfId="213">
      <calculatedColumnFormula>"str_"&amp;CONTROL[[#This Row],[VEHIDCODE]]</calculatedColumnFormula>
    </tableColumn>
    <tableColumn id="20" xr3:uid="{88FD7161-B830-4249-99C6-ED97733BD3B5}" name="CONCEPT_READONLY" dataDxfId="212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11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K1045" totalsRowShown="0" headerRowDxfId="255">
  <autoFilter ref="A1:AK1045" xr:uid="{6DCCB998-B5D1-4B0D-8701-BC0E171A94CA}"/>
  <tableColumns count="37">
    <tableColumn id="1" xr3:uid="{173D09BF-30BA-4FF2-B4FE-F09962415DA2}" name="VEHIDCODE" dataDxfId="254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53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52">
      <calculatedColumnFormula>_xlfn.XLOOKUP(PROPERTIES[[#This Row],[VEHIDCODE]],CONTROL[VEHIDCODE],CONTROL[ENGLISH])</calculatedColumnFormula>
    </tableColumn>
    <tableColumn id="17" xr3:uid="{17B46224-9CA1-4559-B300-6B5EA9CC33A4}" name="COUNTRY" dataDxfId="251"/>
    <tableColumn id="19" xr3:uid="{FD65B400-35DE-464D-97AA-B59BB7DAE7DB}" name="COUNTRY_CODE" dataDxfId="25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4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48"/>
    <tableColumn id="31" xr3:uid="{26514010-6CAE-4146-9174-85EE3D7D1091}" name="LOADINGSPEED" dataDxfId="24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5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4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43"/>
    <tableColumn id="24" xr3:uid="{FFD5C22B-7B16-440D-91CC-48C8761050DA}" name="TE_COEFFICIENT_CALC" dataDxfId="24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41"/>
    <tableColumn id="14" xr3:uid="{123AAB87-6D4C-406A-A5E1-A61DC2DDFFEE}" name="TE_COEFFICIENT" dataDxfId="24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9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38"/>
    <tableColumn id="15" xr3:uid="{3558C882-A912-4F84-BDE6-BC0A2A676C4B}" name="WAGON_LENGTH" dataDxfId="237"/>
    <tableColumn id="30" xr3:uid="{235283C1-F061-434B-8C4A-AD474FB16FE8}" name="REGION1" dataDxfId="236"/>
    <tableColumn id="29" xr3:uid="{19EC58E3-4FB9-44BC-BFFA-4C7DCCC53DA8}" name="REGION2" dataDxfId="235"/>
    <tableColumn id="35" xr3:uid="{BABD5FE4-A781-4494-9E58-0659380B54F2}" name="REGION3"/>
    <tableColumn id="34" xr3:uid="{E252F46B-9ACE-4CDD-B00A-279ACE2DE71D}" name="REGION4" dataDxfId="234"/>
    <tableColumn id="27" xr3:uid="{C00DC499-0060-4E48-A71D-AE565097985F}" name="IS_CONCEPT" dataDxfId="233"/>
    <tableColumn id="56" xr3:uid="{188F57E8-1157-47DF-9E8F-B5F737649F6C}" name="PURCHASECOST_VALUE" dataDxfId="23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3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3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IS_TURBINE" dataDxfId="228"/>
    <tableColumn id="9" xr3:uid="{19FCF859-005A-4696-BB66-C378C763CAEF}" name="EXCLUDE" dataDxfId="2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5" totalsRowShown="0" headerRowDxfId="210">
  <autoFilter ref="A1:AH1045" xr:uid="{6DCCB998-B5D1-4B0D-8701-BC0E171A94CA}"/>
  <tableColumns count="34">
    <tableColumn id="1" xr3:uid="{CDEAF13A-A986-4600-A992-A08C1CA6142C}" name="VEHIDCODE" dataDxfId="209"/>
    <tableColumn id="6" xr3:uid="{80742CDB-5E6B-4140-B4FD-5D968A6B8D5E}" name="ENGLISH_READONLY" dataDxfId="208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07"/>
    <tableColumn id="54" xr3:uid="{5D83FD10-ABCB-4FE7-A7DB-4A857A58D719}" name="TRACK_TYPE_STANDARD_GAUGE_RAILTYPE_25KV" dataDxfId="206"/>
    <tableColumn id="53" xr3:uid="{56183170-0B7F-45FB-91B4-356C62C246AD}" name="TRACK_TYPE_STANDARD_GAUGE_RAILTYPE_15KV" dataDxfId="205"/>
    <tableColumn id="52" xr3:uid="{5B71BE07-0EB9-4DEB-A8E8-252C9D979AC2}" name="TRACK_TYPE_STANDARD_GAUGE_RAILTYPE_3KV" dataDxfId="204"/>
    <tableColumn id="51" xr3:uid="{5A6435EB-111E-4AED-A8E1-AEFF82C34393}" name="TRACK_TYPE_STANDARD_GAUGE_RAILTYPE_1500V" dataDxfId="203"/>
    <tableColumn id="50" xr3:uid="{14CA70EA-0EE7-44BA-9D77-FC902C0596DD}" name="TRACK_TYPE_STANDARD_GAUGE_RAILTYPE_3RD" dataDxfId="202"/>
    <tableColumn id="49" xr3:uid="{3A15447A-9663-43FB-8EFF-8F8034548FB0}" name="TRACK_TYPE_STANDARD_GAUGE_RAILTYPE_4TH" dataDxfId="201"/>
    <tableColumn id="47" xr3:uid="{FE3223C6-E685-4456-91E9-10AEB3B699E7}" name="TRACK_TYPE_STANDARD_GAUGE_RAILTYPE_NONE" dataDxfId="200"/>
    <tableColumn id="46" xr3:uid="{D39969E8-C0CA-4A59-A556-D29019991069}" name="TRACK_TYPE_NARROW_GAUGE_RAILTYPE_OHLE" dataDxfId="199"/>
    <tableColumn id="45" xr3:uid="{5266A9E9-D840-4460-AB81-A081897372F3}" name="TRACK_TYPE_NARROW_GAUGE_RAILTYPE_25KV" dataDxfId="198"/>
    <tableColumn id="44" xr3:uid="{7B4C44D1-C745-4291-86A0-777579742A84}" name="TRACK_TYPE_NARROW_GAUGE_RAILTYPE_15KV" dataDxfId="197"/>
    <tableColumn id="43" xr3:uid="{8736D285-A163-4DBE-84E1-870118B47F14}" name="TRACK_TYPE_NARROW_GAUGE_RAILTYPE_3KV" dataDxfId="196"/>
    <tableColumn id="42" xr3:uid="{6FBBA2FB-4743-4072-B4E0-C42BBDA1CC47}" name="TRACK_TYPE_NARROW_GAUGE_RAILTYPE_1500V" dataDxfId="195"/>
    <tableColumn id="41" xr3:uid="{D3ED2E70-19BF-4D92-A76B-0F0F03D31947}" name="TRACK_TYPE_NARROW_GAUGE_RAILTYPE_3RD" dataDxfId="194"/>
    <tableColumn id="40" xr3:uid="{F38AE7AF-B798-40A5-992A-13685296E710}" name="TRACK_TYPE_NARROW_GAUGE_RAILTYPE_4TH" dataDxfId="193"/>
    <tableColumn id="38" xr3:uid="{97037A15-9172-4057-863E-582804353817}" name="TRACK_TYPE_NARROW_GAUGE_RAILTYPE_NONE" dataDxfId="192"/>
    <tableColumn id="37" xr3:uid="{24999D59-5A4F-4A21-B8B4-EBDBF9F8BF1E}" name="TRACK_TYPE_BROAD_GAUGE_RAILTYPE_OHLE" dataDxfId="191"/>
    <tableColumn id="36" xr3:uid="{31AB3927-D18B-49AD-8EF5-C7E9FF4CEDF3}" name="TRACK_TYPE_BROAD_GAUGE_RAILTYPE_25KV" dataDxfId="190"/>
    <tableColumn id="35" xr3:uid="{CB3432E7-4DAE-4807-9CE5-4CB1ACECD395}" name="TRACK_TYPE_BROAD_GAUGE_RAILTYPE_15KV" dataDxfId="189"/>
    <tableColumn id="34" xr3:uid="{E3936FE4-2B46-4DC0-84C0-44C7892A0927}" name="TRACK_TYPE_BROAD_GAUGE_RAILTYPE_3KV" dataDxfId="188"/>
    <tableColumn id="33" xr3:uid="{A5FAA105-CF81-4A75-8967-5721104454E8}" name="TRACK_TYPE_BROAD_GAUGE_RAILTYPE_1500V" dataDxfId="187"/>
    <tableColumn id="32" xr3:uid="{439CDFDE-6BFC-446C-87CF-28C8FF65FCE0}" name="TRACK_TYPE_BROAD_GAUGE_RAILTYPE_3RD" dataDxfId="186"/>
    <tableColumn id="31" xr3:uid="{219AB5E3-CDFF-41B3-BD58-F7427606D15F}" name="TRACK_TYPE_BROAD_GAUGE_RAILTYPE_4TH" dataDxfId="185"/>
    <tableColumn id="29" xr3:uid="{32C384AB-18DB-4161-B29B-A363A2547BB2}" name="TRACK_TYPE_BROAD_GAUGE_RAILTYPE_NONE" dataDxfId="184"/>
    <tableColumn id="26" xr3:uid="{1CFC6F26-22A8-42EE-972B-0F7ED6623B5A}" name="TRACK_TYPE_MONO" dataDxfId="183"/>
    <tableColumn id="25" xr3:uid="{62939270-15C1-494E-9C53-6EA9E8209C3B}" name="TRACK_TYPE_MGLV" dataDxfId="182"/>
    <tableColumn id="24" xr3:uid="{9DA86EDA-F2AB-4C2D-918E-5260313FD8B3}" name="TRACK_TYPE_MTRO" dataDxfId="181"/>
    <tableColumn id="21" xr3:uid="{E6F11214-E912-4D1C-980D-A111C93B0BED}" name="CHECK_ANY_TT" dataDxfId="18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7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7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7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8" totalsRowShown="0" headerRowDxfId="175">
  <autoFilter ref="A1:I1058" xr:uid="{6DCCB998-B5D1-4B0D-8701-BC0E171A94CA}"/>
  <tableColumns count="9">
    <tableColumn id="1" xr3:uid="{327CDBB6-E1D6-4B9F-9625-C81419775134}" name="VEHIDCODE" dataDxfId="174"/>
    <tableColumn id="101" xr3:uid="{78690AEB-EA8F-4FC7-9651-C84D8F318EE9}" name="MISC_FLAGS_TRAIN_FLAG_2CC" dataDxfId="173"/>
    <tableColumn id="100" xr3:uid="{90DBB1A2-A86F-42C6-B2B8-64A2FD6690AB}" name="MISC_FLAGS_TRAIN_FLAG_MU" dataDxfId="172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71"/>
    <tableColumn id="99" xr3:uid="{DA6644B2-20CC-47E2-B1B5-10210B43738A}" name="MISC_FLAGS_TRAIN_FLAG_AUTOREFIT" dataDxfId="170"/>
    <tableColumn id="2" xr3:uid="{A8915D24-2B2E-4529-B3DE-30BEE23C370F}" name="VEHICLE_FLAG_TRAIN_HAS_CAB" dataDxfId="169"/>
    <tableColumn id="108" xr3:uid="{980A5687-92C0-42A0-811D-C3D4EA0876D1}" name="VISUAL_EFFECT_1" dataDxfId="16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6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244" totalsRowShown="0">
  <autoFilter ref="A1:D124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39" headerRowBorderDxfId="138" tableBorderDxfId="13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36" headerRowBorderDxfId="135" tableBorderDxfId="13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3" dataDxfId="13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1"/>
    <tableColumn id="2" xr3:uid="{CCC9A744-4F42-4023-A516-9395213016EB}" name="COUNTRY_DESCRIPTION" dataDxfId="130"/>
    <tableColumn id="3" xr3:uid="{01E32DA0-BF93-49AA-BE03-33EF914A0BCC}" name="COUNTS" dataDxfId="12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27" headerRowBorderDxfId="128" tableBorderDxfId="126" totalsRowBorderDxfId="125">
  <autoFilter ref="K1:K24" xr:uid="{686D0694-AFBC-4B91-A3D3-72E1CCF00B7D}"/>
  <tableColumns count="1">
    <tableColumn id="1" xr3:uid="{7F0999BD-E0C9-463F-A054-2DA49D41A9EE}" name="VEHID_ID_CATEGORY" dataDxfId="12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23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2"/>
    <tableColumn id="4" xr3:uid="{3DDC8685-BA3D-40E8-A910-1E59013A762D}" name="Range End" dataDxfId="121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0" dataDxfId="119">
  <autoFilter ref="A1:N16" xr:uid="{863AE95D-BE34-47D8-B01B-1170BF25FDF2}"/>
  <tableColumns count="14">
    <tableColumn id="1" xr3:uid="{5F487593-655E-41B5-B155-86F88B53946D}" name="COST_CAT" dataDxfId="118"/>
    <tableColumn id="2" xr3:uid="{33F9C454-EDB2-4DA7-BF7A-64CBC12EBC9B}" name="P1" dataDxfId="117"/>
    <tableColumn id="3" xr3:uid="{25FB11D0-082D-4DE3-9821-1367939D8742}" name="P2" dataDxfId="116"/>
    <tableColumn id="4" xr3:uid="{19CDF402-C641-4217-A953-2A851DF85ADB}" name="P3" dataDxfId="115"/>
    <tableColumn id="5" xr3:uid="{1EF59E2C-32FF-4712-AD89-CBF77E507832}" name="P4" dataDxfId="114"/>
    <tableColumn id="6" xr3:uid="{04250F90-183D-4392-BE27-C420F795E1DC}" name="P5" dataDxfId="113"/>
    <tableColumn id="7" xr3:uid="{F7062C4F-5B57-4110-A21E-BDC8820130D9}" name="P6" dataDxfId="112"/>
    <tableColumn id="8" xr3:uid="{B47621AA-9D6F-4396-B3D9-BD8CF656F30E}" name="P7" dataDxfId="111"/>
    <tableColumn id="9" xr3:uid="{7055539E-C4C8-407D-91F5-6CB021EDE84F}" name="R1" dataDxfId="110"/>
    <tableColumn id="10" xr3:uid="{D17981EB-EB8A-4630-958C-3792D72CD53F}" name="R2" dataDxfId="109"/>
    <tableColumn id="11" xr3:uid="{85EDD15A-812B-4C42-B03A-D558B807622E}" name="R3" dataDxfId="108"/>
    <tableColumn id="12" xr3:uid="{61A73E38-33EC-41D1-B899-56F15EDBDD59}" name="R4" dataDxfId="107"/>
    <tableColumn id="13" xr3:uid="{7A83ADCF-C18F-402F-81A8-0F935E928ED9}" name="R5" dataDxfId="106"/>
    <tableColumn id="14" xr3:uid="{1140F6C7-9C3D-4800-9F3B-DC6E6EBE9541}" name="R6" dataDxfId="10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45"/>
  <sheetViews>
    <sheetView zoomScaleNormal="100" workbookViewId="0">
      <pane xSplit="1" ySplit="1" topLeftCell="B617" activePane="bottomRight" state="frozen"/>
      <selection pane="topRight" activeCell="B1" sqref="B1"/>
      <selection pane="bottomLeft" activeCell="A2" sqref="A2"/>
      <selection pane="bottomRight" activeCell="F633" sqref="F633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7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5" t="s">
        <v>237</v>
      </c>
      <c r="C1" s="5" t="s">
        <v>52</v>
      </c>
      <c r="D1" s="5" t="s">
        <v>302</v>
      </c>
      <c r="E1" s="5" t="s">
        <v>258</v>
      </c>
      <c r="F1" s="36" t="s">
        <v>1252</v>
      </c>
      <c r="G1" s="4" t="s">
        <v>1095</v>
      </c>
      <c r="H1" s="5" t="s">
        <v>380</v>
      </c>
      <c r="I1" s="5" t="s">
        <v>255</v>
      </c>
      <c r="J1" s="5" t="s">
        <v>376</v>
      </c>
      <c r="K1" s="5" t="s">
        <v>379</v>
      </c>
      <c r="L1" s="5" t="s">
        <v>378</v>
      </c>
      <c r="M1" s="5" t="s">
        <v>1751</v>
      </c>
      <c r="N1" s="5" t="s">
        <v>377</v>
      </c>
      <c r="O1" s="5" t="s">
        <v>53</v>
      </c>
      <c r="P1" s="5" t="s">
        <v>54</v>
      </c>
      <c r="Q1" s="5" t="s">
        <v>2656</v>
      </c>
      <c r="R1" s="5" t="s">
        <v>1954</v>
      </c>
    </row>
    <row r="2" spans="1:18">
      <c r="A2" s="2" t="s">
        <v>80</v>
      </c>
      <c r="B2" s="26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7" t="s">
        <v>381</v>
      </c>
      <c r="G2" t="s">
        <v>561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6" t="str">
        <f>"item_"&amp;CONTROL[[#This Row],[VEHIDCODE]]</f>
        <v>item_mglv_Maglev_Wagon_Powered</v>
      </c>
      <c r="P2" s="26" t="str">
        <f>"str_"&amp;CONTROL[[#This Row],[VEHIDCODE]]</f>
        <v>str_mglv_Maglev_Wagon_Powered</v>
      </c>
      <c r="Q2" s="8" t="b">
        <f>_xlfn.XLOOKUP(CONTROL[[#This Row],[VEHIDCODE]],PROPERTIES[VEHIDCODE],PROPERTIES[IS_CONCEPT])="IS_CONCEPT"</f>
        <v>0</v>
      </c>
      <c r="R2" s="8" t="b">
        <f>_xlfn.XLOOKUP(CONTROL[[#This Row],[VEHIDCODE]],PROPERTIES[VEHIDCODE],PROPERTIES[EXCLUDE])</f>
        <v>0</v>
      </c>
    </row>
    <row r="3" spans="1:18">
      <c r="A3" s="2" t="s">
        <v>81</v>
      </c>
      <c r="B3" s="26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7" t="s">
        <v>381</v>
      </c>
      <c r="G3" t="s">
        <v>561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6" t="str">
        <f>"item_"&amp;CONTROL[[#This Row],[VEHIDCODE]]</f>
        <v>item_mglv_Maglev_Wagon_Unpowered</v>
      </c>
      <c r="P3" s="26" t="str">
        <f>"str_"&amp;CONTROL[[#This Row],[VEHIDCODE]]</f>
        <v>str_mglv_Maglev_Wagon_Unpowered</v>
      </c>
      <c r="Q3" s="8" t="b">
        <f>_xlfn.XLOOKUP(CONTROL[[#This Row],[VEHIDCODE]],PROPERTIES[VEHIDCODE],PROPERTIES[IS_CONCEPT])="IS_CONCEPT"</f>
        <v>0</v>
      </c>
      <c r="R3" s="8" t="b">
        <f>_xlfn.XLOOKUP(CONTROL[[#This Row],[VEHIDCODE]],PROPERTIES[VEHIDCODE],PROPERTIES[EXCLUDE])</f>
        <v>0</v>
      </c>
    </row>
    <row r="4" spans="1:18">
      <c r="A4" s="2" t="s">
        <v>2729</v>
      </c>
      <c r="B4" s="26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7" t="s">
        <v>2118</v>
      </c>
      <c r="G4" t="s">
        <v>1079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6" t="str">
        <f>"item_"&amp;CONTROL[[#This Row],[VEHIDCODE]]</f>
        <v>item_rbs_Komarek_NOLB_1</v>
      </c>
      <c r="P4" s="26" t="str">
        <f>"str_"&amp;CONTROL[[#This Row],[VEHIDCODE]]</f>
        <v>str_rbs_Komarek_NOLB_1</v>
      </c>
      <c r="Q4" s="8" t="b">
        <f>_xlfn.XLOOKUP(CONTROL[[#This Row],[VEHIDCODE]],PROPERTIES[VEHIDCODE],PROPERTIES[IS_CONCEPT])="IS_CONCEPT"</f>
        <v>0</v>
      </c>
      <c r="R4" s="8" t="b">
        <f>_xlfn.XLOOKUP(CONTROL[[#This Row],[VEHIDCODE]],PROPERTIES[VEHIDCODE],PROPERTIES[EXCLUDE])</f>
        <v>0</v>
      </c>
    </row>
    <row r="5" spans="1:18">
      <c r="A5" s="2" t="s">
        <v>2730</v>
      </c>
      <c r="B5" s="26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7" t="s">
        <v>2119</v>
      </c>
      <c r="G5" t="s">
        <v>1080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6" t="str">
        <f>"item_"&amp;CONTROL[[#This Row],[VEHIDCODE]]</f>
        <v>item_rbs_Kerr__Stuart___Co__86</v>
      </c>
      <c r="P5" s="26" t="str">
        <f>"str_"&amp;CONTROL[[#This Row],[VEHIDCODE]]</f>
        <v>str_rbs_Kerr__Stuart___Co__86</v>
      </c>
      <c r="Q5" s="8" t="b">
        <f>_xlfn.XLOOKUP(CONTROL[[#This Row],[VEHIDCODE]],PROPERTIES[VEHIDCODE],PROPERTIES[IS_CONCEPT])="IS_CONCEPT"</f>
        <v>0</v>
      </c>
      <c r="R5" s="8" t="b">
        <f>_xlfn.XLOOKUP(CONTROL[[#This Row],[VEHIDCODE]],PROPERTIES[VEHIDCODE],PROPERTIES[EXCLUDE])</f>
        <v>0</v>
      </c>
    </row>
    <row r="6" spans="1:18">
      <c r="A6" s="2" t="s">
        <v>2731</v>
      </c>
      <c r="B6" s="26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7" t="s">
        <v>382</v>
      </c>
      <c r="G6" t="s">
        <v>1081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6" t="str">
        <f>"item_"&amp;CONTROL[[#This Row],[VEHIDCODE]]</f>
        <v>item_rbs_Victorian_Railways_Rowan_Railmotor</v>
      </c>
      <c r="P6" s="26" t="str">
        <f>"str_"&amp;CONTROL[[#This Row],[VEHIDCODE]]</f>
        <v>str_rbs_Victorian_Railways_Rowan_Railmotor</v>
      </c>
      <c r="Q6" s="8" t="b">
        <f>_xlfn.XLOOKUP(CONTROL[[#This Row],[VEHIDCODE]],PROPERTIES[VEHIDCODE],PROPERTIES[IS_CONCEPT])="IS_CONCEPT"</f>
        <v>0</v>
      </c>
      <c r="R6" s="8" t="b">
        <f>_xlfn.XLOOKUP(CONTROL[[#This Row],[VEHIDCODE]],PROPERTIES[VEHIDCODE],PROPERTIES[EXCLUDE])</f>
        <v>0</v>
      </c>
    </row>
    <row r="7" spans="1:18">
      <c r="A7" s="2" t="s">
        <v>2732</v>
      </c>
      <c r="B7" s="26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7" t="s">
        <v>2120</v>
      </c>
      <c r="G7" t="s">
        <v>1082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6" t="str">
        <f>"item_"&amp;CONTROL[[#This Row],[VEHIDCODE]]</f>
        <v>item_rbs_Esslingen_Czm_1_2</v>
      </c>
      <c r="P7" s="26" t="str">
        <f>"str_"&amp;CONTROL[[#This Row],[VEHIDCODE]]</f>
        <v>str_rbs_Esslingen_Czm_1_2</v>
      </c>
      <c r="Q7" s="8" t="b">
        <f>_xlfn.XLOOKUP(CONTROL[[#This Row],[VEHIDCODE]],PROPERTIES[VEHIDCODE],PROPERTIES[IS_CONCEPT])="IS_CONCEPT"</f>
        <v>0</v>
      </c>
      <c r="R7" s="8" t="b">
        <f>_xlfn.XLOOKUP(CONTROL[[#This Row],[VEHIDCODE]],PROPERTIES[VEHIDCODE],PROPERTIES[EXCLUDE])</f>
        <v>0</v>
      </c>
    </row>
    <row r="8" spans="1:18">
      <c r="A8" s="2" t="s">
        <v>2733</v>
      </c>
      <c r="B8" s="26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7" t="s">
        <v>2121</v>
      </c>
      <c r="G8" t="s">
        <v>1084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6" t="str">
        <f>"item_"&amp;CONTROL[[#This Row],[VEHIDCODE]]</f>
        <v>item_rbs_Maffei_MCCi</v>
      </c>
      <c r="P8" s="26" t="str">
        <f>"str_"&amp;CONTROL[[#This Row],[VEHIDCODE]]</f>
        <v>str_rbs_Maffei_MCCi</v>
      </c>
      <c r="Q8" s="8" t="b">
        <f>_xlfn.XLOOKUP(CONTROL[[#This Row],[VEHIDCODE]],PROPERTIES[VEHIDCODE],PROPERTIES[IS_CONCEPT])="IS_CONCEPT"</f>
        <v>0</v>
      </c>
      <c r="R8" s="8" t="b">
        <f>_xlfn.XLOOKUP(CONTROL[[#This Row],[VEHIDCODE]],PROPERTIES[VEHIDCODE],PROPERTIES[EXCLUDE])</f>
        <v>0</v>
      </c>
    </row>
    <row r="9" spans="1:18">
      <c r="A9" s="2" t="s">
        <v>2734</v>
      </c>
      <c r="B9" s="26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7" t="s">
        <v>2122</v>
      </c>
      <c r="G9" t="s">
        <v>1083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6" t="str">
        <f>"item_"&amp;CONTROL[[#This Row],[VEHIDCODE]]</f>
        <v>item_rbs_Kitson___Co_CSAR_Railmotor</v>
      </c>
      <c r="P9" s="26" t="str">
        <f>"str_"&amp;CONTROL[[#This Row],[VEHIDCODE]]</f>
        <v>str_rbs_Kitson___Co_CSAR_Railmotor</v>
      </c>
      <c r="Q9" s="8" t="b">
        <f>_xlfn.XLOOKUP(CONTROL[[#This Row],[VEHIDCODE]],PROPERTIES[VEHIDCODE],PROPERTIES[IS_CONCEPT])="IS_CONCEPT"</f>
        <v>0</v>
      </c>
      <c r="R9" s="8" t="b">
        <f>_xlfn.XLOOKUP(CONTROL[[#This Row],[VEHIDCODE]],PROPERTIES[VEHIDCODE],PROPERTIES[EXCLUDE])</f>
        <v>0</v>
      </c>
    </row>
    <row r="10" spans="1:18">
      <c r="A10" s="2" t="s">
        <v>2735</v>
      </c>
      <c r="B10" s="26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7" t="s">
        <v>2123</v>
      </c>
      <c r="G10" t="s">
        <v>1085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6" t="str">
        <f>"item_"&amp;CONTROL[[#This Row],[VEHIDCODE]]</f>
        <v>item_rbs_Kerr_Stuart_steam_railmotor</v>
      </c>
      <c r="P10" s="26" t="str">
        <f>"str_"&amp;CONTROL[[#This Row],[VEHIDCODE]]</f>
        <v>str_rbs_Kerr_Stuart_steam_railmotor</v>
      </c>
      <c r="Q10" s="8" t="b">
        <f>_xlfn.XLOOKUP(CONTROL[[#This Row],[VEHIDCODE]],PROPERTIES[VEHIDCODE],PROPERTIES[IS_CONCEPT])="IS_CONCEPT"</f>
        <v>0</v>
      </c>
      <c r="R10" s="8" t="b">
        <f>_xlfn.XLOOKUP(CONTROL[[#This Row],[VEHIDCODE]],PROPERTIES[VEHIDCODE],PROPERTIES[EXCLUDE])</f>
        <v>0</v>
      </c>
    </row>
    <row r="11" spans="1:18">
      <c r="A11" s="2" t="s">
        <v>2736</v>
      </c>
      <c r="B11" s="26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7" t="s">
        <v>1755</v>
      </c>
      <c r="G11" t="s">
        <v>1087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6" t="str">
        <f>"item_"&amp;CONTROL[[#This Row],[VEHIDCODE]]</f>
        <v>item_rbs_KkStB_4_0</v>
      </c>
      <c r="P11" s="26" t="str">
        <f>"str_"&amp;CONTROL[[#This Row],[VEHIDCODE]]</f>
        <v>str_rbs_KkStB_4_0</v>
      </c>
      <c r="Q11" s="8" t="b">
        <f>_xlfn.XLOOKUP(CONTROL[[#This Row],[VEHIDCODE]],PROPERTIES[VEHIDCODE],PROPERTIES[IS_CONCEPT])="IS_CONCEPT"</f>
        <v>0</v>
      </c>
      <c r="R11" s="8" t="b">
        <f>_xlfn.XLOOKUP(CONTROL[[#This Row],[VEHIDCODE]],PROPERTIES[VEHIDCODE],PROPERTIES[EXCLUDE])</f>
        <v>0</v>
      </c>
    </row>
    <row r="12" spans="1:18">
      <c r="A12" s="2" t="s">
        <v>2737</v>
      </c>
      <c r="B12" s="26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7" t="s">
        <v>2124</v>
      </c>
      <c r="G12" t="s">
        <v>1086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6" t="str">
        <f>"item_"&amp;CONTROL[[#This Row],[VEHIDCODE]]</f>
        <v>item_rbd_AEC_railmotor_RM1</v>
      </c>
      <c r="P12" s="26" t="str">
        <f>"str_"&amp;CONTROL[[#This Row],[VEHIDCODE]]</f>
        <v>str_rbd_AEC_railmotor_RM1</v>
      </c>
      <c r="Q12" s="8" t="b">
        <f>_xlfn.XLOOKUP(CONTROL[[#This Row],[VEHIDCODE]],PROPERTIES[VEHIDCODE],PROPERTIES[IS_CONCEPT])="IS_CONCEPT"</f>
        <v>0</v>
      </c>
      <c r="R12" s="8" t="b">
        <f>_xlfn.XLOOKUP(CONTROL[[#This Row],[VEHIDCODE]],PROPERTIES[VEHIDCODE],PROPERTIES[EXCLUDE])</f>
        <v>0</v>
      </c>
    </row>
    <row r="13" spans="1:18">
      <c r="A13" s="2" t="s">
        <v>2738</v>
      </c>
      <c r="B13" s="26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7" t="s">
        <v>2709</v>
      </c>
      <c r="G13" t="s">
        <v>1088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6" t="str">
        <f>"item_"&amp;CONTROL[[#This Row],[VEHIDCODE]]</f>
        <v>item_rbd_VT133_Wismar_Railcar</v>
      </c>
      <c r="P13" s="26" t="str">
        <f>"str_"&amp;CONTROL[[#This Row],[VEHIDCODE]]</f>
        <v>str_rbd_VT133_Wismar_Railcar</v>
      </c>
      <c r="Q13" s="8" t="b">
        <f>_xlfn.XLOOKUP(CONTROL[[#This Row],[VEHIDCODE]],PROPERTIES[VEHIDCODE],PROPERTIES[IS_CONCEPT])="IS_CONCEPT"</f>
        <v>0</v>
      </c>
      <c r="R13" s="8" t="b">
        <f>_xlfn.XLOOKUP(CONTROL[[#This Row],[VEHIDCODE]],PROPERTIES[VEHIDCODE],PROPERTIES[EXCLUDE])</f>
        <v>0</v>
      </c>
    </row>
    <row r="14" spans="1:18">
      <c r="A14" s="2" t="s">
        <v>2739</v>
      </c>
      <c r="B14" s="26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7" t="s">
        <v>2125</v>
      </c>
      <c r="G14" t="s">
        <v>1089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6" t="str">
        <f>"item_"&amp;CONTROL[[#This Row],[VEHIDCODE]]</f>
        <v>item_rbd_AEC_Railcar</v>
      </c>
      <c r="P14" s="26" t="str">
        <f>"str_"&amp;CONTROL[[#This Row],[VEHIDCODE]]</f>
        <v>str_rbd_AEC_Railcar</v>
      </c>
      <c r="Q14" s="8" t="b">
        <f>_xlfn.XLOOKUP(CONTROL[[#This Row],[VEHIDCODE]],PROPERTIES[VEHIDCODE],PROPERTIES[IS_CONCEPT])="IS_CONCEPT"</f>
        <v>0</v>
      </c>
      <c r="R14" s="8" t="b">
        <f>_xlfn.XLOOKUP(CONTROL[[#This Row],[VEHIDCODE]],PROPERTIES[VEHIDCODE],PROPERTIES[EXCLUDE])</f>
        <v>0</v>
      </c>
    </row>
    <row r="15" spans="1:18">
      <c r="A15" s="2" t="s">
        <v>2740</v>
      </c>
      <c r="B15" s="26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7" t="s">
        <v>2126</v>
      </c>
      <c r="G15" t="s">
        <v>1090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6" t="str">
        <f>"item_"&amp;CONTROL[[#This Row],[VEHIDCODE]]</f>
        <v>item_rbd_Simmering_VT42</v>
      </c>
      <c r="P15" s="26" t="str">
        <f>"str_"&amp;CONTROL[[#This Row],[VEHIDCODE]]</f>
        <v>str_rbd_Simmering_VT42</v>
      </c>
      <c r="Q15" s="8" t="b">
        <f>_xlfn.XLOOKUP(CONTROL[[#This Row],[VEHIDCODE]],PROPERTIES[VEHIDCODE],PROPERTIES[IS_CONCEPT])="IS_CONCEPT"</f>
        <v>0</v>
      </c>
      <c r="R15" s="8" t="b">
        <f>_xlfn.XLOOKUP(CONTROL[[#This Row],[VEHIDCODE]],PROPERTIES[VEHIDCODE],PROPERTIES[EXCLUDE])</f>
        <v>0</v>
      </c>
    </row>
    <row r="16" spans="1:18">
      <c r="A16" s="2" t="s">
        <v>2741</v>
      </c>
      <c r="B16" s="26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7" t="s">
        <v>2127</v>
      </c>
      <c r="G16" t="s">
        <v>1091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6" t="str">
        <f>"item_"&amp;CONTROL[[#This Row],[VEHIDCODE]]</f>
        <v>item_rbd_Hutt_RM31</v>
      </c>
      <c r="P16" s="26" t="str">
        <f>"str_"&amp;CONTROL[[#This Row],[VEHIDCODE]]</f>
        <v>str_rbd_Hutt_RM31</v>
      </c>
      <c r="Q16" s="8" t="b">
        <f>_xlfn.XLOOKUP(CONTROL[[#This Row],[VEHIDCODE]],PROPERTIES[VEHIDCODE],PROPERTIES[IS_CONCEPT])="IS_CONCEPT"</f>
        <v>0</v>
      </c>
      <c r="R16" s="8" t="b">
        <f>_xlfn.XLOOKUP(CONTROL[[#This Row],[VEHIDCODE]],PROPERTIES[VEHIDCODE],PROPERTIES[EXCLUDE])</f>
        <v>0</v>
      </c>
    </row>
    <row r="17" spans="1:18">
      <c r="A17" s="2" t="s">
        <v>2742</v>
      </c>
      <c r="B17" s="26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7" t="s">
        <v>2128</v>
      </c>
      <c r="G17" t="s">
        <v>1092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6" t="str">
        <f>"item_"&amp;CONTROL[[#This Row],[VEHIDCODE]]</f>
        <v>item_rbd_NOHAB_CP_0100</v>
      </c>
      <c r="P17" s="26" t="str">
        <f>"str_"&amp;CONTROL[[#This Row],[VEHIDCODE]]</f>
        <v>str_rbd_NOHAB_CP_0100</v>
      </c>
      <c r="Q17" s="8" t="b">
        <f>_xlfn.XLOOKUP(CONTROL[[#This Row],[VEHIDCODE]],PROPERTIES[VEHIDCODE],PROPERTIES[IS_CONCEPT])="IS_CONCEPT"</f>
        <v>0</v>
      </c>
      <c r="R17" s="8" t="b">
        <f>_xlfn.XLOOKUP(CONTROL[[#This Row],[VEHIDCODE]],PROPERTIES[VEHIDCODE],PROPERTIES[EXCLUDE])</f>
        <v>0</v>
      </c>
    </row>
    <row r="18" spans="1:18">
      <c r="A18" s="2" t="s">
        <v>2743</v>
      </c>
      <c r="B18" s="26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7" t="s">
        <v>2084</v>
      </c>
      <c r="G18" t="s">
        <v>1093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6" t="str">
        <f>"item_"&amp;CONTROL[[#This Row],[VEHIDCODE]]</f>
        <v>item_rbd_Budd_RDC</v>
      </c>
      <c r="P18" s="26" t="str">
        <f>"str_"&amp;CONTROL[[#This Row],[VEHIDCODE]]</f>
        <v>str_rbd_Budd_RDC</v>
      </c>
      <c r="Q18" s="8" t="b">
        <f>_xlfn.XLOOKUP(CONTROL[[#This Row],[VEHIDCODE]],PROPERTIES[VEHIDCODE],PROPERTIES[IS_CONCEPT])="IS_CONCEPT"</f>
        <v>0</v>
      </c>
      <c r="R18" s="8" t="b">
        <f>_xlfn.XLOOKUP(CONTROL[[#This Row],[VEHIDCODE]],PROPERTIES[VEHIDCODE],PROPERTIES[EXCLUDE])</f>
        <v>0</v>
      </c>
    </row>
    <row r="19" spans="1:18">
      <c r="A19" s="2" t="s">
        <v>2744</v>
      </c>
      <c r="B19" s="26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7" t="s">
        <v>2129</v>
      </c>
      <c r="G19" t="s">
        <v>1094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6" t="str">
        <f>"item_"&amp;CONTROL[[#This Row],[VEHIDCODE]]</f>
        <v>item_rbd_Uerdingen_railbus</v>
      </c>
      <c r="P19" s="26" t="str">
        <f>"str_"&amp;CONTROL[[#This Row],[VEHIDCODE]]</f>
        <v>str_rbd_Uerdingen_railbus</v>
      </c>
      <c r="Q19" s="8" t="b">
        <f>_xlfn.XLOOKUP(CONTROL[[#This Row],[VEHIDCODE]],PROPERTIES[VEHIDCODE],PROPERTIES[IS_CONCEPT])="IS_CONCEPT"</f>
        <v>0</v>
      </c>
      <c r="R19" s="8" t="b">
        <f>_xlfn.XLOOKUP(CONTROL[[#This Row],[VEHIDCODE]],PROPERTIES[VEHIDCODE],PROPERTIES[EXCLUDE])</f>
        <v>0</v>
      </c>
    </row>
    <row r="20" spans="1:18">
      <c r="A20" s="2" t="s">
        <v>2745</v>
      </c>
      <c r="B20" s="26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7" t="s">
        <v>2130</v>
      </c>
      <c r="G20" t="s">
        <v>1096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6" t="str">
        <f>"item_"&amp;CONTROL[[#This Row],[VEHIDCODE]]</f>
        <v>item_rbd_MaK_GDT</v>
      </c>
      <c r="P20" s="26" t="str">
        <f>"str_"&amp;CONTROL[[#This Row],[VEHIDCODE]]</f>
        <v>str_rbd_MaK_GDT</v>
      </c>
      <c r="Q20" s="8" t="b">
        <f>_xlfn.XLOOKUP(CONTROL[[#This Row],[VEHIDCODE]],PROPERTIES[VEHIDCODE],PROPERTIES[IS_CONCEPT])="IS_CONCEPT"</f>
        <v>0</v>
      </c>
      <c r="R20" s="8" t="b">
        <f>_xlfn.XLOOKUP(CONTROL[[#This Row],[VEHIDCODE]],PROPERTIES[VEHIDCODE],PROPERTIES[EXCLUDE])</f>
        <v>0</v>
      </c>
    </row>
    <row r="21" spans="1:18">
      <c r="A21" s="2" t="s">
        <v>2746</v>
      </c>
      <c r="B21" s="26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7" t="s">
        <v>2131</v>
      </c>
      <c r="G21" t="s">
        <v>1097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6" t="str">
        <f>"item_"&amp;CONTROL[[#This Row],[VEHIDCODE]]</f>
        <v>item_rbd_Allan_Kameel</v>
      </c>
      <c r="P21" s="26" t="str">
        <f>"str_"&amp;CONTROL[[#This Row],[VEHIDCODE]]</f>
        <v>str_rbd_Allan_Kameel</v>
      </c>
      <c r="Q21" s="8" t="b">
        <f>_xlfn.XLOOKUP(CONTROL[[#This Row],[VEHIDCODE]],PROPERTIES[VEHIDCODE],PROPERTIES[IS_CONCEPT])="IS_CONCEPT"</f>
        <v>0</v>
      </c>
      <c r="R21" s="8" t="b">
        <f>_xlfn.XLOOKUP(CONTROL[[#This Row],[VEHIDCODE]],PROPERTIES[VEHIDCODE],PROPERTIES[EXCLUDE])</f>
        <v>0</v>
      </c>
    </row>
    <row r="22" spans="1:18">
      <c r="A22" s="2" t="s">
        <v>2747</v>
      </c>
      <c r="B22" s="26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7" t="s">
        <v>383</v>
      </c>
      <c r="G22" t="s">
        <v>1098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6" t="str">
        <f>"item_"&amp;CONTROL[[#This Row],[VEHIDCODE]]</f>
        <v>item_rbd_NS_DH1</v>
      </c>
      <c r="P22" s="26" t="str">
        <f>"str_"&amp;CONTROL[[#This Row],[VEHIDCODE]]</f>
        <v>str_rbd_NS_DH1</v>
      </c>
      <c r="Q22" s="8" t="b">
        <f>_xlfn.XLOOKUP(CONTROL[[#This Row],[VEHIDCODE]],PROPERTIES[VEHIDCODE],PROPERTIES[IS_CONCEPT])="IS_CONCEPT"</f>
        <v>0</v>
      </c>
      <c r="R22" s="8" t="b">
        <f>_xlfn.XLOOKUP(CONTROL[[#This Row],[VEHIDCODE]],PROPERTIES[VEHIDCODE],PROPERTIES[EXCLUDE])</f>
        <v>0</v>
      </c>
    </row>
    <row r="23" spans="1:18">
      <c r="A23" s="2" t="s">
        <v>2748</v>
      </c>
      <c r="B23" s="26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7" t="s">
        <v>2132</v>
      </c>
      <c r="G23" t="s">
        <v>1099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6" t="str">
        <f>"item_"&amp;CONTROL[[#This Row],[VEHIDCODE]]</f>
        <v>item_rbd_Jenbacher_Werke_5047</v>
      </c>
      <c r="P23" s="26" t="str">
        <f>"str_"&amp;CONTROL[[#This Row],[VEHIDCODE]]</f>
        <v>str_rbd_Jenbacher_Werke_5047</v>
      </c>
      <c r="Q23" s="8" t="b">
        <f>_xlfn.XLOOKUP(CONTROL[[#This Row],[VEHIDCODE]],PROPERTIES[VEHIDCODE],PROPERTIES[IS_CONCEPT])="IS_CONCEPT"</f>
        <v>0</v>
      </c>
      <c r="R23" s="8" t="b">
        <f>_xlfn.XLOOKUP(CONTROL[[#This Row],[VEHIDCODE]],PROPERTIES[VEHIDCODE],PROPERTIES[EXCLUDE])</f>
        <v>0</v>
      </c>
    </row>
    <row r="24" spans="1:18">
      <c r="A24" s="2" t="s">
        <v>2749</v>
      </c>
      <c r="B24" s="26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7" t="s">
        <v>2133</v>
      </c>
      <c r="G24" t="s">
        <v>1100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6" t="str">
        <f>"item_"&amp;CONTROL[[#This Row],[VEHIDCODE]]</f>
        <v>item_rbd_Hunslet_Barclay_Super_Sprinter</v>
      </c>
      <c r="P24" s="26" t="str">
        <f>"str_"&amp;CONTROL[[#This Row],[VEHIDCODE]]</f>
        <v>str_rbd_Hunslet_Barclay_Super_Sprinter</v>
      </c>
      <c r="Q24" s="8" t="b">
        <f>_xlfn.XLOOKUP(CONTROL[[#This Row],[VEHIDCODE]],PROPERTIES[VEHIDCODE],PROPERTIES[IS_CONCEPT])="IS_CONCEPT"</f>
        <v>0</v>
      </c>
      <c r="R24" s="8" t="b">
        <f>_xlfn.XLOOKUP(CONTROL[[#This Row],[VEHIDCODE]],PROPERTIES[VEHIDCODE],PROPERTIES[EXCLUDE])</f>
        <v>0</v>
      </c>
    </row>
    <row r="25" spans="1:18">
      <c r="A25" s="2" t="s">
        <v>2750</v>
      </c>
      <c r="B25" s="26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7" t="s">
        <v>2134</v>
      </c>
      <c r="G25" t="s">
        <v>1101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6" t="str">
        <f>"item_"&amp;CONTROL[[#This Row],[VEHIDCODE]]</f>
        <v>item_rbd_Vagonka_Studenka_809</v>
      </c>
      <c r="P25" s="26" t="str">
        <f>"str_"&amp;CONTROL[[#This Row],[VEHIDCODE]]</f>
        <v>str_rbd_Vagonka_Studenka_809</v>
      </c>
      <c r="Q25" s="8" t="b">
        <f>_xlfn.XLOOKUP(CONTROL[[#This Row],[VEHIDCODE]],PROPERTIES[VEHIDCODE],PROPERTIES[IS_CONCEPT])="IS_CONCEPT"</f>
        <v>0</v>
      </c>
      <c r="R25" s="8" t="b">
        <f>_xlfn.XLOOKUP(CONTROL[[#This Row],[VEHIDCODE]],PROPERTIES[VEHIDCODE],PROPERTIES[EXCLUDE])</f>
        <v>0</v>
      </c>
    </row>
    <row r="26" spans="1:18">
      <c r="A26" s="2" t="s">
        <v>2751</v>
      </c>
      <c r="B26" s="26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7" t="s">
        <v>2135</v>
      </c>
      <c r="G26" t="s">
        <v>1102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6" t="str">
        <f>"item_"&amp;CONTROL[[#This Row],[VEHIDCODE]]</f>
        <v>item_rbd_DWA_670</v>
      </c>
      <c r="P26" s="26" t="str">
        <f>"str_"&amp;CONTROL[[#This Row],[VEHIDCODE]]</f>
        <v>str_rbd_DWA_670</v>
      </c>
      <c r="Q26" s="8" t="b">
        <f>_xlfn.XLOOKUP(CONTROL[[#This Row],[VEHIDCODE]],PROPERTIES[VEHIDCODE],PROPERTIES[IS_CONCEPT])="IS_CONCEPT"</f>
        <v>0</v>
      </c>
      <c r="R26" s="8" t="b">
        <f>_xlfn.XLOOKUP(CONTROL[[#This Row],[VEHIDCODE]],PROPERTIES[VEHIDCODE],PROPERTIES[EXCLUDE])</f>
        <v>0</v>
      </c>
    </row>
    <row r="27" spans="1:18">
      <c r="A27" s="2" t="s">
        <v>2752</v>
      </c>
      <c r="B27" s="26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7" t="s">
        <v>2085</v>
      </c>
      <c r="G27" t="s">
        <v>2136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6" t="str">
        <f>"item_"&amp;CONTROL[[#This Row],[VEHIDCODE]]</f>
        <v>item_rbd_RVR_AR2</v>
      </c>
      <c r="P27" s="26" t="str">
        <f>"str_"&amp;CONTROL[[#This Row],[VEHIDCODE]]</f>
        <v>str_rbd_RVR_AR2</v>
      </c>
      <c r="Q27" s="8" t="b">
        <f>_xlfn.XLOOKUP(CONTROL[[#This Row],[VEHIDCODE]],PROPERTIES[VEHIDCODE],PROPERTIES[IS_CONCEPT])="IS_CONCEPT"</f>
        <v>0</v>
      </c>
      <c r="R27" s="8" t="b">
        <f>_xlfn.XLOOKUP(CONTROL[[#This Row],[VEHIDCODE]],PROPERTIES[VEHIDCODE],PROPERTIES[EXCLUDE])</f>
        <v>0</v>
      </c>
    </row>
    <row r="28" spans="1:18">
      <c r="A28" s="2" t="s">
        <v>2753</v>
      </c>
      <c r="B28" s="26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7" t="s">
        <v>2137</v>
      </c>
      <c r="G28" t="s">
        <v>1103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6" t="str">
        <f>"item_"&amp;CONTROL[[#This Row],[VEHIDCODE]]</f>
        <v>item_rbd_Austro_Daimler_Z1</v>
      </c>
      <c r="P28" s="26" t="str">
        <f>"str_"&amp;CONTROL[[#This Row],[VEHIDCODE]]</f>
        <v>str_rbd_Austro_Daimler_Z1</v>
      </c>
      <c r="Q28" s="8" t="b">
        <f>_xlfn.XLOOKUP(CONTROL[[#This Row],[VEHIDCODE]],PROPERTIES[VEHIDCODE],PROPERTIES[IS_CONCEPT])="IS_CONCEPT"</f>
        <v>0</v>
      </c>
      <c r="R28" s="8" t="b">
        <f>_xlfn.XLOOKUP(CONTROL[[#This Row],[VEHIDCODE]],PROPERTIES[VEHIDCODE],PROPERTIES[EXCLUDE])</f>
        <v>0</v>
      </c>
    </row>
    <row r="29" spans="1:18">
      <c r="A29" s="2" t="s">
        <v>2754</v>
      </c>
      <c r="B29" s="26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7" t="s">
        <v>2138</v>
      </c>
      <c r="G29" t="s">
        <v>1104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6" t="str">
        <f>"item_"&amp;CONTROL[[#This Row],[VEHIDCODE]]</f>
        <v>item_rbd_McKeen_Motor_Car_70</v>
      </c>
      <c r="P29" s="26" t="str">
        <f>"str_"&amp;CONTROL[[#This Row],[VEHIDCODE]]</f>
        <v>str_rbd_McKeen_Motor_Car_70</v>
      </c>
      <c r="Q29" s="8" t="b">
        <f>_xlfn.XLOOKUP(CONTROL[[#This Row],[VEHIDCODE]],PROPERTIES[VEHIDCODE],PROPERTIES[IS_CONCEPT])="IS_CONCEPT"</f>
        <v>0</v>
      </c>
      <c r="R29" s="8" t="b">
        <f>_xlfn.XLOOKUP(CONTROL[[#This Row],[VEHIDCODE]],PROPERTIES[VEHIDCODE],PROPERTIES[EXCLUDE])</f>
        <v>0</v>
      </c>
    </row>
    <row r="30" spans="1:18">
      <c r="A30" s="2" t="s">
        <v>2755</v>
      </c>
      <c r="B30" s="26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7" t="s">
        <v>2139</v>
      </c>
      <c r="G30" t="s">
        <v>1105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6" t="str">
        <f>"item_"&amp;CONTROL[[#This Row],[VEHIDCODE]]</f>
        <v>item_rbd_BBC_DET_1_2_Sachsischer</v>
      </c>
      <c r="P30" s="26" t="str">
        <f>"str_"&amp;CONTROL[[#This Row],[VEHIDCODE]]</f>
        <v>str_rbd_BBC_DET_1_2_Sachsischer</v>
      </c>
      <c r="Q30" s="8" t="b">
        <f>_xlfn.XLOOKUP(CONTROL[[#This Row],[VEHIDCODE]],PROPERTIES[VEHIDCODE],PROPERTIES[IS_CONCEPT])="IS_CONCEPT"</f>
        <v>0</v>
      </c>
      <c r="R30" s="8" t="b">
        <f>_xlfn.XLOOKUP(CONTROL[[#This Row],[VEHIDCODE]],PROPERTIES[VEHIDCODE],PROPERTIES[EXCLUDE])</f>
        <v>0</v>
      </c>
    </row>
    <row r="31" spans="1:18">
      <c r="A31" s="2" t="s">
        <v>2756</v>
      </c>
      <c r="B31" s="26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7" t="s">
        <v>384</v>
      </c>
      <c r="G31" t="s">
        <v>1106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6" t="str">
        <f>"item_"&amp;CONTROL[[#This Row],[VEHIDCODE]]</f>
        <v>item_rbd_WC_PR_Drewry_Railcar</v>
      </c>
      <c r="P31" s="26" t="str">
        <f>"str_"&amp;CONTROL[[#This Row],[VEHIDCODE]]</f>
        <v>str_rbd_WC_PR_Drewry_Railcar</v>
      </c>
      <c r="Q31" s="8" t="b">
        <f>_xlfn.XLOOKUP(CONTROL[[#This Row],[VEHIDCODE]],PROPERTIES[VEHIDCODE],PROPERTIES[IS_CONCEPT])="IS_CONCEPT"</f>
        <v>0</v>
      </c>
      <c r="R31" s="8" t="b">
        <f>_xlfn.XLOOKUP(CONTROL[[#This Row],[VEHIDCODE]],PROPERTIES[VEHIDCODE],PROPERTIES[EXCLUDE])</f>
        <v>0</v>
      </c>
    </row>
    <row r="32" spans="1:18">
      <c r="A32" s="2" t="s">
        <v>2757</v>
      </c>
      <c r="B32" s="26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7" t="s">
        <v>2140</v>
      </c>
      <c r="G32" t="s">
        <v>1107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6" t="str">
        <f>"item_"&amp;CONTROL[[#This Row],[VEHIDCODE]]</f>
        <v>item_rbd_LHW_BSt_6001</v>
      </c>
      <c r="P32" s="26" t="str">
        <f>"str_"&amp;CONTROL[[#This Row],[VEHIDCODE]]</f>
        <v>str_rbd_LHW_BSt_6001</v>
      </c>
      <c r="Q32" s="8" t="b">
        <f>_xlfn.XLOOKUP(CONTROL[[#This Row],[VEHIDCODE]],PROPERTIES[VEHIDCODE],PROPERTIES[IS_CONCEPT])="IS_CONCEPT"</f>
        <v>0</v>
      </c>
      <c r="R32" s="8" t="b">
        <f>_xlfn.XLOOKUP(CONTROL[[#This Row],[VEHIDCODE]],PROPERTIES[VEHIDCODE],PROPERTIES[EXCLUDE])</f>
        <v>0</v>
      </c>
    </row>
    <row r="33" spans="1:18">
      <c r="A33" s="2" t="s">
        <v>2758</v>
      </c>
      <c r="B33" s="26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7" t="s">
        <v>2141</v>
      </c>
      <c r="G33" t="s">
        <v>1108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6" t="str">
        <f>"item_"&amp;CONTROL[[#This Row],[VEHIDCODE]]</f>
        <v>item_rbd_EMC_DERM</v>
      </c>
      <c r="P33" s="26" t="str">
        <f>"str_"&amp;CONTROL[[#This Row],[VEHIDCODE]]</f>
        <v>str_rbd_EMC_DERM</v>
      </c>
      <c r="Q33" s="8" t="b">
        <f>_xlfn.XLOOKUP(CONTROL[[#This Row],[VEHIDCODE]],PROPERTIES[VEHIDCODE],PROPERTIES[IS_CONCEPT])="IS_CONCEPT"</f>
        <v>0</v>
      </c>
      <c r="R33" s="8" t="b">
        <f>_xlfn.XLOOKUP(CONTROL[[#This Row],[VEHIDCODE]],PROPERTIES[VEHIDCODE],PROPERTIES[EXCLUDE])</f>
        <v>0</v>
      </c>
    </row>
    <row r="34" spans="1:18">
      <c r="A34" s="2" t="s">
        <v>2759</v>
      </c>
      <c r="B34" s="26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7" t="s">
        <v>2145</v>
      </c>
      <c r="G34" t="s">
        <v>1109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6" t="str">
        <f>"item_"&amp;CONTROL[[#This Row],[VEHIDCODE]]</f>
        <v>item_rbd_Tatra_M120_4</v>
      </c>
      <c r="P34" s="26" t="str">
        <f>"str_"&amp;CONTROL[[#This Row],[VEHIDCODE]]</f>
        <v>str_rbd_Tatra_M120_4</v>
      </c>
      <c r="Q34" s="8" t="b">
        <f>_xlfn.XLOOKUP(CONTROL[[#This Row],[VEHIDCODE]],PROPERTIES[VEHIDCODE],PROPERTIES[IS_CONCEPT])="IS_CONCEPT"</f>
        <v>0</v>
      </c>
      <c r="R34" s="8" t="b">
        <f>_xlfn.XLOOKUP(CONTROL[[#This Row],[VEHIDCODE]],PROPERTIES[VEHIDCODE],PROPERTIES[EXCLUDE])</f>
        <v>0</v>
      </c>
    </row>
    <row r="35" spans="1:18">
      <c r="A35" s="2" t="s">
        <v>2760</v>
      </c>
      <c r="B35" s="26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7" t="s">
        <v>2142</v>
      </c>
      <c r="G35" t="s">
        <v>1110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6" t="str">
        <f>"item_"&amp;CONTROL[[#This Row],[VEHIDCODE]]</f>
        <v>item_rbd_Franz_Kruckenberg_Schienenzeppelin</v>
      </c>
      <c r="P35" s="26" t="str">
        <f>"str_"&amp;CONTROL[[#This Row],[VEHIDCODE]]</f>
        <v>str_rbd_Franz_Kruckenberg_Schienenzeppelin</v>
      </c>
      <c r="Q35" s="8" t="b">
        <f>_xlfn.XLOOKUP(CONTROL[[#This Row],[VEHIDCODE]],PROPERTIES[VEHIDCODE],PROPERTIES[IS_CONCEPT])="IS_CONCEPT"</f>
        <v>0</v>
      </c>
      <c r="R35" s="8" t="b">
        <f>_xlfn.XLOOKUP(CONTROL[[#This Row],[VEHIDCODE]],PROPERTIES[VEHIDCODE],PROPERTIES[EXCLUDE])</f>
        <v>0</v>
      </c>
    </row>
    <row r="36" spans="1:18">
      <c r="A36" s="2" t="s">
        <v>2761</v>
      </c>
      <c r="B36" s="26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7" t="s">
        <v>1113</v>
      </c>
      <c r="G36" t="s">
        <v>1112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6" t="str">
        <f>"item_"&amp;CONTROL[[#This Row],[VEHIDCODE]]</f>
        <v>item_rbd_DSB_MO_Serie_1</v>
      </c>
      <c r="P36" s="26" t="str">
        <f>"str_"&amp;CONTROL[[#This Row],[VEHIDCODE]]</f>
        <v>str_rbd_DSB_MO_Serie_1</v>
      </c>
      <c r="Q36" s="8" t="b">
        <f>_xlfn.XLOOKUP(CONTROL[[#This Row],[VEHIDCODE]],PROPERTIES[VEHIDCODE],PROPERTIES[IS_CONCEPT])="IS_CONCEPT"</f>
        <v>0</v>
      </c>
      <c r="R36" s="8" t="b">
        <f>_xlfn.XLOOKUP(CONTROL[[#This Row],[VEHIDCODE]],PROPERTIES[VEHIDCODE],PROPERTIES[EXCLUDE])</f>
        <v>0</v>
      </c>
    </row>
    <row r="37" spans="1:18">
      <c r="A37" s="2" t="s">
        <v>2762</v>
      </c>
      <c r="B37" s="26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7" t="s">
        <v>2143</v>
      </c>
      <c r="G37" t="s">
        <v>1111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6" t="str">
        <f>"item_"&amp;CONTROL[[#This Row],[VEHIDCODE]]</f>
        <v>item_rbd_Strommens_Kristine_Valdresdatter</v>
      </c>
      <c r="P37" s="26" t="str">
        <f>"str_"&amp;CONTROL[[#This Row],[VEHIDCODE]]</f>
        <v>str_rbd_Strommens_Kristine_Valdresdatter</v>
      </c>
      <c r="Q37" s="8" t="b">
        <f>_xlfn.XLOOKUP(CONTROL[[#This Row],[VEHIDCODE]],PROPERTIES[VEHIDCODE],PROPERTIES[IS_CONCEPT])="IS_CONCEPT"</f>
        <v>0</v>
      </c>
      <c r="R37" s="8" t="b">
        <f>_xlfn.XLOOKUP(CONTROL[[#This Row],[VEHIDCODE]],PROPERTIES[VEHIDCODE],PROPERTIES[EXCLUDE])</f>
        <v>0</v>
      </c>
    </row>
    <row r="38" spans="1:18">
      <c r="A38" s="2" t="s">
        <v>2763</v>
      </c>
      <c r="B38" s="26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7" t="s">
        <v>2144</v>
      </c>
      <c r="G38" t="s">
        <v>1114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6" t="str">
        <f>"item_"&amp;CONTROL[[#This Row],[VEHIDCODE]]</f>
        <v>item_rbd_Tatra_M290</v>
      </c>
      <c r="P38" s="26" t="str">
        <f>"str_"&amp;CONTROL[[#This Row],[VEHIDCODE]]</f>
        <v>str_rbd_Tatra_M290</v>
      </c>
      <c r="Q38" s="8" t="b">
        <f>_xlfn.XLOOKUP(CONTROL[[#This Row],[VEHIDCODE]],PROPERTIES[VEHIDCODE],PROPERTIES[IS_CONCEPT])="IS_CONCEPT"</f>
        <v>0</v>
      </c>
      <c r="R38" s="8" t="b">
        <f>_xlfn.XLOOKUP(CONTROL[[#This Row],[VEHIDCODE]],PROPERTIES[VEHIDCODE],PROPERTIES[EXCLUDE])</f>
        <v>0</v>
      </c>
    </row>
    <row r="39" spans="1:18">
      <c r="A39" s="2" t="s">
        <v>2764</v>
      </c>
      <c r="B39" s="26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7" t="s">
        <v>2146</v>
      </c>
      <c r="G39" t="s">
        <v>1115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6" t="str">
        <f>"item_"&amp;CONTROL[[#This Row],[VEHIDCODE]]</f>
        <v>item_rbd_Werkspoor_DM37</v>
      </c>
      <c r="P39" s="26" t="str">
        <f>"str_"&amp;CONTROL[[#This Row],[VEHIDCODE]]</f>
        <v>str_rbd_Werkspoor_DM37</v>
      </c>
      <c r="Q39" s="8" t="b">
        <f>_xlfn.XLOOKUP(CONTROL[[#This Row],[VEHIDCODE]],PROPERTIES[VEHIDCODE],PROPERTIES[IS_CONCEPT])="IS_CONCEPT"</f>
        <v>0</v>
      </c>
      <c r="R39" s="8" t="b">
        <f>_xlfn.XLOOKUP(CONTROL[[#This Row],[VEHIDCODE]],PROPERTIES[VEHIDCODE],PROPERTIES[EXCLUDE])</f>
        <v>0</v>
      </c>
    </row>
    <row r="40" spans="1:18">
      <c r="A40" s="2" t="s">
        <v>2765</v>
      </c>
      <c r="B40" s="26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7" t="s">
        <v>2147</v>
      </c>
      <c r="G40" t="s">
        <v>1116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6" t="str">
        <f>"item_"&amp;CONTROL[[#This Row],[VEHIDCODE]]</f>
        <v>item_rbd_Eveleigh_400_Class</v>
      </c>
      <c r="P40" s="26" t="str">
        <f>"str_"&amp;CONTROL[[#This Row],[VEHIDCODE]]</f>
        <v>str_rbd_Eveleigh_400_Class</v>
      </c>
      <c r="Q40" s="8" t="b">
        <f>_xlfn.XLOOKUP(CONTROL[[#This Row],[VEHIDCODE]],PROPERTIES[VEHIDCODE],PROPERTIES[IS_CONCEPT])="IS_CONCEPT"</f>
        <v>0</v>
      </c>
      <c r="R40" s="8" t="b">
        <f>_xlfn.XLOOKUP(CONTROL[[#This Row],[VEHIDCODE]],PROPERTIES[VEHIDCODE],PROPERTIES[EXCLUDE])</f>
        <v>0</v>
      </c>
    </row>
    <row r="41" spans="1:18">
      <c r="A41" s="2" t="s">
        <v>2766</v>
      </c>
      <c r="B41" s="26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7" t="s">
        <v>2148</v>
      </c>
      <c r="G41" t="s">
        <v>1117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6" t="str">
        <f>"item_"&amp;CONTROL[[#This Row],[VEHIDCODE]]</f>
        <v>item_rbd_Vale_do_Vouga_ME51_55</v>
      </c>
      <c r="P41" s="26" t="str">
        <f>"str_"&amp;CONTROL[[#This Row],[VEHIDCODE]]</f>
        <v>str_rbd_Vale_do_Vouga_ME51_55</v>
      </c>
      <c r="Q41" s="8" t="b">
        <f>_xlfn.XLOOKUP(CONTROL[[#This Row],[VEHIDCODE]],PROPERTIES[VEHIDCODE],PROPERTIES[IS_CONCEPT])="IS_CONCEPT"</f>
        <v>0</v>
      </c>
      <c r="R41" s="8" t="b">
        <f>_xlfn.XLOOKUP(CONTROL[[#This Row],[VEHIDCODE]],PROPERTIES[VEHIDCODE],PROPERTIES[EXCLUDE])</f>
        <v>0</v>
      </c>
    </row>
    <row r="42" spans="1:18">
      <c r="A42" s="2" t="s">
        <v>2767</v>
      </c>
      <c r="B42" s="26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7" t="s">
        <v>2149</v>
      </c>
      <c r="G42" t="s">
        <v>1118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6" t="str">
        <f>"item_"&amp;CONTROL[[#This Row],[VEHIDCODE]]</f>
        <v>item_rbd_Ateliers_Germain_42_43</v>
      </c>
      <c r="P42" s="26" t="str">
        <f>"str_"&amp;CONTROL[[#This Row],[VEHIDCODE]]</f>
        <v>str_rbd_Ateliers_Germain_42_43</v>
      </c>
      <c r="Q42" s="8" t="b">
        <f>_xlfn.XLOOKUP(CONTROL[[#This Row],[VEHIDCODE]],PROPERTIES[VEHIDCODE],PROPERTIES[IS_CONCEPT])="IS_CONCEPT"</f>
        <v>0</v>
      </c>
      <c r="R42" s="8" t="b">
        <f>_xlfn.XLOOKUP(CONTROL[[#This Row],[VEHIDCODE]],PROPERTIES[VEHIDCODE],PROPERTIES[EXCLUDE])</f>
        <v>0</v>
      </c>
    </row>
    <row r="43" spans="1:18">
      <c r="A43" s="2" t="s">
        <v>2768</v>
      </c>
      <c r="B43" s="26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7" t="s">
        <v>2150</v>
      </c>
      <c r="G43" t="s">
        <v>1119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6" t="str">
        <f>"item_"&amp;CONTROL[[#This Row],[VEHIDCODE]]</f>
        <v>item_rbd_SGP_77783_1960</v>
      </c>
      <c r="P43" s="26" t="str">
        <f>"str_"&amp;CONTROL[[#This Row],[VEHIDCODE]]</f>
        <v>str_rbd_SGP_77783_1960</v>
      </c>
      <c r="Q43" s="8" t="b">
        <f>_xlfn.XLOOKUP(CONTROL[[#This Row],[VEHIDCODE]],PROPERTIES[VEHIDCODE],PROPERTIES[IS_CONCEPT])="IS_CONCEPT"</f>
        <v>0</v>
      </c>
      <c r="R43" s="8" t="b">
        <f>_xlfn.XLOOKUP(CONTROL[[#This Row],[VEHIDCODE]],PROPERTIES[VEHIDCODE],PROPERTIES[EXCLUDE])</f>
        <v>0</v>
      </c>
    </row>
    <row r="44" spans="1:18">
      <c r="A44" s="2" t="s">
        <v>2769</v>
      </c>
      <c r="B44" s="26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7" t="s">
        <v>2151</v>
      </c>
      <c r="G44" t="s">
        <v>1120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6" t="str">
        <f>"item_"&amp;CONTROL[[#This Row],[VEHIDCODE]]</f>
        <v>item_rbd_Ferrostaal_Esslingen_AA_71</v>
      </c>
      <c r="P44" s="26" t="str">
        <f>"str_"&amp;CONTROL[[#This Row],[VEHIDCODE]]</f>
        <v>str_rbd_Ferrostaal_Esslingen_AA_71</v>
      </c>
      <c r="Q44" s="8" t="b">
        <f>_xlfn.XLOOKUP(CONTROL[[#This Row],[VEHIDCODE]],PROPERTIES[VEHIDCODE],PROPERTIES[IS_CONCEPT])="IS_CONCEPT"</f>
        <v>0</v>
      </c>
      <c r="R44" s="8" t="b">
        <f>_xlfn.XLOOKUP(CONTROL[[#This Row],[VEHIDCODE]],PROPERTIES[VEHIDCODE],PROPERTIES[EXCLUDE])</f>
        <v>0</v>
      </c>
    </row>
    <row r="45" spans="1:18">
      <c r="A45" s="2" t="s">
        <v>2770</v>
      </c>
      <c r="B45" s="26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7" t="s">
        <v>2625</v>
      </c>
      <c r="G45" t="s">
        <v>1121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6" t="str">
        <f>"item_"&amp;CONTROL[[#This Row],[VEHIDCODE]]</f>
        <v>item_rbd_Alsthom_Z_431</v>
      </c>
      <c r="P45" s="26" t="str">
        <f>"str_"&amp;CONTROL[[#This Row],[VEHIDCODE]]</f>
        <v>str_rbd_Alsthom_Z_431</v>
      </c>
      <c r="Q45" s="8" t="b">
        <f>_xlfn.XLOOKUP(CONTROL[[#This Row],[VEHIDCODE]],PROPERTIES[VEHIDCODE],PROPERTIES[IS_CONCEPT])="IS_CONCEPT"</f>
        <v>0</v>
      </c>
      <c r="R45" s="8" t="b">
        <f>_xlfn.XLOOKUP(CONTROL[[#This Row],[VEHIDCODE]],PROPERTIES[VEHIDCODE],PROPERTIES[EXCLUDE])</f>
        <v>0</v>
      </c>
    </row>
    <row r="46" spans="1:18">
      <c r="A46" s="2" t="s">
        <v>2771</v>
      </c>
      <c r="B46" s="26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7" t="s">
        <v>2086</v>
      </c>
      <c r="G46" t="s">
        <v>1122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6" t="str">
        <f>"item_"&amp;CONTROL[[#This Row],[VEHIDCODE]]</f>
        <v>item_rbd_Budd_SPV_2000</v>
      </c>
      <c r="P46" s="26" t="str">
        <f>"str_"&amp;CONTROL[[#This Row],[VEHIDCODE]]</f>
        <v>str_rbd_Budd_SPV_2000</v>
      </c>
      <c r="Q46" s="8" t="b">
        <f>_xlfn.XLOOKUP(CONTROL[[#This Row],[VEHIDCODE]],PROPERTIES[VEHIDCODE],PROPERTIES[IS_CONCEPT])="IS_CONCEPT"</f>
        <v>0</v>
      </c>
      <c r="R46" s="8" t="b">
        <f>_xlfn.XLOOKUP(CONTROL[[#This Row],[VEHIDCODE]],PROPERTIES[VEHIDCODE],PROPERTIES[EXCLUDE])</f>
        <v>0</v>
      </c>
    </row>
    <row r="47" spans="1:18">
      <c r="A47" s="2" t="s">
        <v>2772</v>
      </c>
      <c r="B47" s="26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7" t="s">
        <v>2152</v>
      </c>
      <c r="G47" t="s">
        <v>1123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6" t="str">
        <f>"item_"&amp;CONTROL[[#This Row],[VEHIDCODE]]</f>
        <v>item_rbd_CKD_Vagonka_Dm12</v>
      </c>
      <c r="P47" s="26" t="str">
        <f>"str_"&amp;CONTROL[[#This Row],[VEHIDCODE]]</f>
        <v>str_rbd_CKD_Vagonka_Dm12</v>
      </c>
      <c r="Q47" s="8" t="b">
        <f>_xlfn.XLOOKUP(CONTROL[[#This Row],[VEHIDCODE]],PROPERTIES[VEHIDCODE],PROPERTIES[IS_CONCEPT])="IS_CONCEPT"</f>
        <v>0</v>
      </c>
      <c r="R47" s="8" t="b">
        <f>_xlfn.XLOOKUP(CONTROL[[#This Row],[VEHIDCODE]],PROPERTIES[VEHIDCODE],PROPERTIES[EXCLUDE])</f>
        <v>0</v>
      </c>
    </row>
    <row r="48" spans="1:18">
      <c r="A48" s="2" t="s">
        <v>3536</v>
      </c>
      <c r="B48" s="26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7" t="s">
        <v>3543</v>
      </c>
      <c r="G48" t="s">
        <v>1124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6" t="str">
        <f>"item_"&amp;CONTROL[[#This Row],[VEHIDCODE]]</f>
        <v>item_rbd_Stadler_Regio_Shuttle_RS1</v>
      </c>
      <c r="P48" s="26" t="str">
        <f>"str_"&amp;CONTROL[[#This Row],[VEHIDCODE]]</f>
        <v>str_rbd_Stadler_Regio_Shuttle_RS1</v>
      </c>
      <c r="Q48" s="8" t="b">
        <f>_xlfn.XLOOKUP(CONTROL[[#This Row],[VEHIDCODE]],PROPERTIES[VEHIDCODE],PROPERTIES[IS_CONCEPT])="IS_CONCEPT"</f>
        <v>0</v>
      </c>
      <c r="R48" s="8" t="b">
        <f>_xlfn.XLOOKUP(CONTROL[[#This Row],[VEHIDCODE]],PROPERTIES[VEHIDCODE],PROPERTIES[EXCLUDE])</f>
        <v>0</v>
      </c>
    </row>
    <row r="49" spans="1:18">
      <c r="A49" s="2" t="s">
        <v>2773</v>
      </c>
      <c r="B49" s="26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7" t="s">
        <v>2153</v>
      </c>
      <c r="G49" t="s">
        <v>1125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6" t="str">
        <f>"item_"&amp;CONTROL[[#This Row],[VEHIDCODE]]</f>
        <v>item_rbd_Fiat_Ferroviaria_ALn_668_1400</v>
      </c>
      <c r="P49" s="26" t="str">
        <f>"str_"&amp;CONTROL[[#This Row],[VEHIDCODE]]</f>
        <v>str_rbd_Fiat_Ferroviaria_ALn_668_1400</v>
      </c>
      <c r="Q49" s="8" t="b">
        <f>_xlfn.XLOOKUP(CONTROL[[#This Row],[VEHIDCODE]],PROPERTIES[VEHIDCODE],PROPERTIES[IS_CONCEPT])="IS_CONCEPT"</f>
        <v>0</v>
      </c>
      <c r="R49" s="8" t="b">
        <f>_xlfn.XLOOKUP(CONTROL[[#This Row],[VEHIDCODE]],PROPERTIES[VEHIDCODE],PROPERTIES[EXCLUDE])</f>
        <v>0</v>
      </c>
    </row>
    <row r="50" spans="1:18">
      <c r="A50" s="2" t="s">
        <v>2774</v>
      </c>
      <c r="B50" s="26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7" t="s">
        <v>2154</v>
      </c>
      <c r="G50" t="s">
        <v>1126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6" t="str">
        <f>"item_"&amp;CONTROL[[#This Row],[VEHIDCODE]]</f>
        <v>item_rbe_Ringhoffer_40_001</v>
      </c>
      <c r="P50" s="26" t="str">
        <f>"str_"&amp;CONTROL[[#This Row],[VEHIDCODE]]</f>
        <v>str_rbe_Ringhoffer_40_001</v>
      </c>
      <c r="Q50" s="8" t="b">
        <f>_xlfn.XLOOKUP(CONTROL[[#This Row],[VEHIDCODE]],PROPERTIES[VEHIDCODE],PROPERTIES[IS_CONCEPT])="IS_CONCEPT"</f>
        <v>0</v>
      </c>
      <c r="R50" s="8" t="b">
        <f>_xlfn.XLOOKUP(CONTROL[[#This Row],[VEHIDCODE]],PROPERTIES[VEHIDCODE],PROPERTIES[EXCLUDE])</f>
        <v>0</v>
      </c>
    </row>
    <row r="51" spans="1:18">
      <c r="A51" s="2" t="s">
        <v>2775</v>
      </c>
      <c r="B51" s="26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7" t="s">
        <v>2155</v>
      </c>
      <c r="G51" t="s">
        <v>1127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6" t="str">
        <f>"item_"&amp;CONTROL[[#This Row],[VEHIDCODE]]</f>
        <v>item_rbe_Decauville_Z_7100</v>
      </c>
      <c r="P51" s="26" t="str">
        <f>"str_"&amp;CONTROL[[#This Row],[VEHIDCODE]]</f>
        <v>str_rbe_Decauville_Z_7100</v>
      </c>
      <c r="Q51" s="8" t="b">
        <f>_xlfn.XLOOKUP(CONTROL[[#This Row],[VEHIDCODE]],PROPERTIES[VEHIDCODE],PROPERTIES[IS_CONCEPT])="IS_CONCEPT"</f>
        <v>0</v>
      </c>
      <c r="R51" s="8" t="b">
        <f>_xlfn.XLOOKUP(CONTROL[[#This Row],[VEHIDCODE]],PROPERTIES[VEHIDCODE],PROPERTIES[EXCLUDE])</f>
        <v>0</v>
      </c>
    </row>
    <row r="52" spans="1:18">
      <c r="A52" s="2" t="s">
        <v>2776</v>
      </c>
      <c r="B52" s="26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7" t="s">
        <v>2156</v>
      </c>
      <c r="G52" t="s">
        <v>1128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6" t="str">
        <f>"item_"&amp;CONTROL[[#This Row],[VEHIDCODE]]</f>
        <v>item_rbe_HAWA_AEG_Kleinbahn_Nr__1_3</v>
      </c>
      <c r="P52" s="26" t="str">
        <f>"str_"&amp;CONTROL[[#This Row],[VEHIDCODE]]</f>
        <v>str_rbe_HAWA_AEG_Kleinbahn_Nr__1_3</v>
      </c>
      <c r="Q52" s="8" t="b">
        <f>_xlfn.XLOOKUP(CONTROL[[#This Row],[VEHIDCODE]],PROPERTIES[VEHIDCODE],PROPERTIES[IS_CONCEPT])="IS_CONCEPT"</f>
        <v>0</v>
      </c>
      <c r="R52" s="8" t="b">
        <f>_xlfn.XLOOKUP(CONTROL[[#This Row],[VEHIDCODE]],PROPERTIES[VEHIDCODE],PROPERTIES[EXCLUDE])</f>
        <v>0</v>
      </c>
    </row>
    <row r="53" spans="1:18">
      <c r="A53" s="2" t="s">
        <v>3553</v>
      </c>
      <c r="B53" s="26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7" t="s">
        <v>3554</v>
      </c>
      <c r="G53" t="s">
        <v>1130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6" t="str">
        <f>"item_"&amp;CONTROL[[#This Row],[VEHIDCODE]]</f>
        <v>item_rbe_Raw_Schoneweide_479_201</v>
      </c>
      <c r="P53" s="26" t="str">
        <f>"str_"&amp;CONTROL[[#This Row],[VEHIDCODE]]</f>
        <v>str_rbe_Raw_Schoneweide_479_201</v>
      </c>
      <c r="Q53" s="8" t="b">
        <f>_xlfn.XLOOKUP(CONTROL[[#This Row],[VEHIDCODE]],PROPERTIES[VEHIDCODE],PROPERTIES[IS_CONCEPT])="IS_CONCEPT"</f>
        <v>0</v>
      </c>
      <c r="R53" s="8" t="b">
        <f>_xlfn.XLOOKUP(CONTROL[[#This Row],[VEHIDCODE]],PROPERTIES[VEHIDCODE],PROPERTIES[EXCLUDE])</f>
        <v>0</v>
      </c>
    </row>
    <row r="54" spans="1:18">
      <c r="A54" s="2" t="s">
        <v>2777</v>
      </c>
      <c r="B54" s="26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7" t="s">
        <v>2157</v>
      </c>
      <c r="G54" t="s">
        <v>1129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6" t="str">
        <f>"item_"&amp;CONTROL[[#This Row],[VEHIDCODE]]</f>
        <v>item_rbe_Studenka_425_95</v>
      </c>
      <c r="P54" s="26" t="str">
        <f>"str_"&amp;CONTROL[[#This Row],[VEHIDCODE]]</f>
        <v>str_rbe_Studenka_425_95</v>
      </c>
      <c r="Q54" s="8" t="b">
        <f>_xlfn.XLOOKUP(CONTROL[[#This Row],[VEHIDCODE]],PROPERTIES[VEHIDCODE],PROPERTIES[IS_CONCEPT])="IS_CONCEPT"</f>
        <v>0</v>
      </c>
      <c r="R54" s="8" t="b">
        <f>_xlfn.XLOOKUP(CONTROL[[#This Row],[VEHIDCODE]],PROPERTIES[VEHIDCODE],PROPERTIES[EXCLUDE])</f>
        <v>0</v>
      </c>
    </row>
    <row r="55" spans="1:18">
      <c r="A55" s="2" t="s">
        <v>2778</v>
      </c>
      <c r="B55" s="26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7" t="s">
        <v>2158</v>
      </c>
      <c r="G55" t="s">
        <v>1131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6" t="str">
        <f>"item_"&amp;CONTROL[[#This Row],[VEHIDCODE]]</f>
        <v>item_rbe_Pozzuoli___OCREN_OM_ALe_840</v>
      </c>
      <c r="P55" s="26" t="str">
        <f>"str_"&amp;CONTROL[[#This Row],[VEHIDCODE]]</f>
        <v>str_rbe_Pozzuoli___OCREN_OM_ALe_840</v>
      </c>
      <c r="Q55" s="8" t="b">
        <f>_xlfn.XLOOKUP(CONTROL[[#This Row],[VEHIDCODE]],PROPERTIES[VEHIDCODE],PROPERTIES[IS_CONCEPT])="IS_CONCEPT"</f>
        <v>0</v>
      </c>
      <c r="R55" s="8" t="b">
        <f>_xlfn.XLOOKUP(CONTROL[[#This Row],[VEHIDCODE]],PROPERTIES[VEHIDCODE],PROPERTIES[EXCLUDE])</f>
        <v>0</v>
      </c>
    </row>
    <row r="56" spans="1:18">
      <c r="A56" s="2" t="s">
        <v>2779</v>
      </c>
      <c r="B56" s="26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7" t="s">
        <v>2159</v>
      </c>
      <c r="G56" t="s">
        <v>1132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6" t="str">
        <f>"item_"&amp;CONTROL[[#This Row],[VEHIDCODE]]</f>
        <v>item_rbe_Stanga_ALe_80</v>
      </c>
      <c r="P56" s="26" t="str">
        <f>"str_"&amp;CONTROL[[#This Row],[VEHIDCODE]]</f>
        <v>str_rbe_Stanga_ALe_80</v>
      </c>
      <c r="Q56" s="8" t="b">
        <f>_xlfn.XLOOKUP(CONTROL[[#This Row],[VEHIDCODE]],PROPERTIES[VEHIDCODE],PROPERTIES[IS_CONCEPT])="IS_CONCEPT"</f>
        <v>0</v>
      </c>
      <c r="R56" s="8" t="b">
        <f>_xlfn.XLOOKUP(CONTROL[[#This Row],[VEHIDCODE]],PROPERTIES[VEHIDCODE],PROPERTIES[EXCLUDE])</f>
        <v>0</v>
      </c>
    </row>
    <row r="57" spans="1:18">
      <c r="A57" s="2" t="s">
        <v>2780</v>
      </c>
      <c r="B57" s="26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7" t="s">
        <v>385</v>
      </c>
      <c r="G57" t="s">
        <v>1133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6" t="str">
        <f>"item_"&amp;CONTROL[[#This Row],[VEHIDCODE]]</f>
        <v>item_rbe_FS_E_623</v>
      </c>
      <c r="P57" s="26" t="str">
        <f>"str_"&amp;CONTROL[[#This Row],[VEHIDCODE]]</f>
        <v>str_rbe_FS_E_623</v>
      </c>
      <c r="Q57" s="8" t="b">
        <f>_xlfn.XLOOKUP(CONTROL[[#This Row],[VEHIDCODE]],PROPERTIES[VEHIDCODE],PROPERTIES[IS_CONCEPT])="IS_CONCEPT"</f>
        <v>0</v>
      </c>
      <c r="R57" s="8" t="b">
        <f>_xlfn.XLOOKUP(CONTROL[[#This Row],[VEHIDCODE]],PROPERTIES[VEHIDCODE],PROPERTIES[EXCLUDE])</f>
        <v>0</v>
      </c>
    </row>
    <row r="58" spans="1:18">
      <c r="A58" s="2" t="s">
        <v>2781</v>
      </c>
      <c r="B58" s="26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7" t="s">
        <v>566</v>
      </c>
      <c r="G58" t="s">
        <v>1134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6" t="str">
        <f>"item_"&amp;CONTROL[[#This Row],[VEHIDCODE]]</f>
        <v>item_rbe_ONCF_ZAB1000</v>
      </c>
      <c r="P58" s="26" t="str">
        <f>"str_"&amp;CONTROL[[#This Row],[VEHIDCODE]]</f>
        <v>str_rbe_ONCF_ZAB1000</v>
      </c>
      <c r="Q58" s="8" t="b">
        <f>_xlfn.XLOOKUP(CONTROL[[#This Row],[VEHIDCODE]],PROPERTIES[VEHIDCODE],PROPERTIES[IS_CONCEPT])="IS_CONCEPT"</f>
        <v>0</v>
      </c>
      <c r="R58" s="8" t="b">
        <f>_xlfn.XLOOKUP(CONTROL[[#This Row],[VEHIDCODE]],PROPERTIES[VEHIDCODE],PROPERTIES[EXCLUDE])</f>
        <v>0</v>
      </c>
    </row>
    <row r="59" spans="1:18">
      <c r="A59" s="2" t="s">
        <v>2782</v>
      </c>
      <c r="B59" s="26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7" t="s">
        <v>2030</v>
      </c>
      <c r="G59" t="s">
        <v>1135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6" t="str">
        <f>"item_"&amp;CONTROL[[#This Row],[VEHIDCODE]]</f>
        <v>item_rbe_Pesa_308B</v>
      </c>
      <c r="P59" s="26" t="str">
        <f>"str_"&amp;CONTROL[[#This Row],[VEHIDCODE]]</f>
        <v>str_rbe_Pesa_308B</v>
      </c>
      <c r="Q59" s="8" t="b">
        <f>_xlfn.XLOOKUP(CONTROL[[#This Row],[VEHIDCODE]],PROPERTIES[VEHIDCODE],PROPERTIES[IS_CONCEPT])="IS_CONCEPT"</f>
        <v>0</v>
      </c>
      <c r="R59" s="8" t="b">
        <f>_xlfn.XLOOKUP(CONTROL[[#This Row],[VEHIDCODE]],PROPERTIES[VEHIDCODE],PROPERTIES[EXCLUDE])</f>
        <v>0</v>
      </c>
    </row>
    <row r="60" spans="1:18">
      <c r="A60" s="2" t="s">
        <v>2783</v>
      </c>
      <c r="B60" s="26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7" t="s">
        <v>2160</v>
      </c>
      <c r="G60" t="s">
        <v>1136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6" t="str">
        <f>"item_"&amp;CONTROL[[#This Row],[VEHIDCODE]]</f>
        <v>item_rbe_Franz_Knotz_4855</v>
      </c>
      <c r="P60" s="26" t="str">
        <f>"str_"&amp;CONTROL[[#This Row],[VEHIDCODE]]</f>
        <v>str_rbe_Franz_Knotz_4855</v>
      </c>
      <c r="Q60" s="8" t="b">
        <f>_xlfn.XLOOKUP(CONTROL[[#This Row],[VEHIDCODE]],PROPERTIES[VEHIDCODE],PROPERTIES[IS_CONCEPT])="IS_CONCEPT"</f>
        <v>0</v>
      </c>
      <c r="R60" s="8" t="b">
        <f>_xlfn.XLOOKUP(CONTROL[[#This Row],[VEHIDCODE]],PROPERTIES[VEHIDCODE],PROPERTIES[EXCLUDE])</f>
        <v>0</v>
      </c>
    </row>
    <row r="61" spans="1:18">
      <c r="A61" s="2" t="s">
        <v>2784</v>
      </c>
      <c r="B61" s="26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7" t="s">
        <v>2161</v>
      </c>
      <c r="G61" t="s">
        <v>1137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6" t="str">
        <f>"item_"&amp;CONTROL[[#This Row],[VEHIDCODE]]</f>
        <v>item_rbe_Lindner_Talbot_ET_10_109</v>
      </c>
      <c r="P61" s="26" t="str">
        <f>"str_"&amp;CONTROL[[#This Row],[VEHIDCODE]]</f>
        <v>str_rbe_Lindner_Talbot_ET_10_109</v>
      </c>
      <c r="Q61" s="8" t="b">
        <f>_xlfn.XLOOKUP(CONTROL[[#This Row],[VEHIDCODE]],PROPERTIES[VEHIDCODE],PROPERTIES[IS_CONCEPT])="IS_CONCEPT"</f>
        <v>0</v>
      </c>
      <c r="R61" s="8" t="b">
        <f>_xlfn.XLOOKUP(CONTROL[[#This Row],[VEHIDCODE]],PROPERTIES[VEHIDCODE],PROPERTIES[EXCLUDE])</f>
        <v>0</v>
      </c>
    </row>
    <row r="62" spans="1:18">
      <c r="A62" s="2" t="s">
        <v>2785</v>
      </c>
      <c r="B62" s="26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7" t="s">
        <v>2162</v>
      </c>
      <c r="G62" t="s">
        <v>1138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6" t="str">
        <f>"item_"&amp;CONTROL[[#This Row],[VEHIDCODE]]</f>
        <v>item_rbe_Waggonfabrik_Fuchs_ET_85</v>
      </c>
      <c r="P62" s="26" t="str">
        <f>"str_"&amp;CONTROL[[#This Row],[VEHIDCODE]]</f>
        <v>str_rbe_Waggonfabrik_Fuchs_ET_85</v>
      </c>
      <c r="Q62" s="8" t="b">
        <f>_xlfn.XLOOKUP(CONTROL[[#This Row],[VEHIDCODE]],PROPERTIES[VEHIDCODE],PROPERTIES[IS_CONCEPT])="IS_CONCEPT"</f>
        <v>0</v>
      </c>
      <c r="R62" s="8" t="b">
        <f>_xlfn.XLOOKUP(CONTROL[[#This Row],[VEHIDCODE]],PROPERTIES[VEHIDCODE],PROPERTIES[EXCLUDE])</f>
        <v>0</v>
      </c>
    </row>
    <row r="63" spans="1:18">
      <c r="A63" s="2" t="s">
        <v>2786</v>
      </c>
      <c r="B63" s="26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7" t="s">
        <v>2163</v>
      </c>
      <c r="G63" t="s">
        <v>1139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6" t="str">
        <f>"item_"&amp;CONTROL[[#This Row],[VEHIDCODE]]</f>
        <v>item_rbe_ASJ_Y6</v>
      </c>
      <c r="P63" s="26" t="str">
        <f>"str_"&amp;CONTROL[[#This Row],[VEHIDCODE]]</f>
        <v>str_rbe_ASJ_Y6</v>
      </c>
      <c r="Q63" s="8" t="b">
        <f>_xlfn.XLOOKUP(CONTROL[[#This Row],[VEHIDCODE]],PROPERTIES[VEHIDCODE],PROPERTIES[IS_CONCEPT])="IS_CONCEPT"</f>
        <v>0</v>
      </c>
      <c r="R63" s="8" t="b">
        <f>_xlfn.XLOOKUP(CONTROL[[#This Row],[VEHIDCODE]],PROPERTIES[VEHIDCODE],PROPERTIES[EXCLUDE])</f>
        <v>0</v>
      </c>
    </row>
    <row r="64" spans="1:18">
      <c r="A64" s="2" t="s">
        <v>2787</v>
      </c>
      <c r="B64" s="26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7" t="s">
        <v>2164</v>
      </c>
      <c r="G64" t="s">
        <v>1140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6" t="str">
        <f>"item_"&amp;CONTROL[[#This Row],[VEHIDCODE]]</f>
        <v>item_rbe_Budd_Silverliner_II</v>
      </c>
      <c r="P64" s="26" t="str">
        <f>"str_"&amp;CONTROL[[#This Row],[VEHIDCODE]]</f>
        <v>str_rbe_Budd_Silverliner_II</v>
      </c>
      <c r="Q64" s="8" t="b">
        <f>_xlfn.XLOOKUP(CONTROL[[#This Row],[VEHIDCODE]],PROPERTIES[VEHIDCODE],PROPERTIES[IS_CONCEPT])="IS_CONCEPT"</f>
        <v>0</v>
      </c>
      <c r="R64" s="8" t="b">
        <f>_xlfn.XLOOKUP(CONTROL[[#This Row],[VEHIDCODE]],PROPERTIES[VEHIDCODE],PROPERTIES[EXCLUDE])</f>
        <v>0</v>
      </c>
    </row>
    <row r="65" spans="1:18">
      <c r="A65" s="2" t="s">
        <v>2788</v>
      </c>
      <c r="B65" s="26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7" t="s">
        <v>2165</v>
      </c>
      <c r="G65" t="s">
        <v>1141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6" t="str">
        <f>"item_"&amp;CONTROL[[#This Row],[VEHIDCODE]]</f>
        <v>item_rbe_Hyundai_Rotem_Silverliner_V</v>
      </c>
      <c r="P65" s="26" t="str">
        <f>"str_"&amp;CONTROL[[#This Row],[VEHIDCODE]]</f>
        <v>str_rbe_Hyundai_Rotem_Silverliner_V</v>
      </c>
      <c r="Q65" s="8" t="b">
        <f>_xlfn.XLOOKUP(CONTROL[[#This Row],[VEHIDCODE]],PROPERTIES[VEHIDCODE],PROPERTIES[IS_CONCEPT])="IS_CONCEPT"</f>
        <v>0</v>
      </c>
      <c r="R65" s="8" t="b">
        <f>_xlfn.XLOOKUP(CONTROL[[#This Row],[VEHIDCODE]],PROPERTIES[VEHIDCODE],PROPERTIES[EXCLUDE])</f>
        <v>0</v>
      </c>
    </row>
    <row r="66" spans="1:18">
      <c r="A66" s="2" t="s">
        <v>2789</v>
      </c>
      <c r="B66" s="26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7" t="s">
        <v>2166</v>
      </c>
      <c r="G66" t="s">
        <v>1142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6" t="str">
        <f>"item_"&amp;CONTROL[[#This Row],[VEHIDCODE]]</f>
        <v>item_steam_John_Cockerill___Cie__Le_Belge</v>
      </c>
      <c r="P66" s="26" t="str">
        <f>"str_"&amp;CONTROL[[#This Row],[VEHIDCODE]]</f>
        <v>str_steam_John_Cockerill___Cie__Le_Belge</v>
      </c>
      <c r="Q66" s="8" t="b">
        <f>_xlfn.XLOOKUP(CONTROL[[#This Row],[VEHIDCODE]],PROPERTIES[VEHIDCODE],PROPERTIES[IS_CONCEPT])="IS_CONCEPT"</f>
        <v>0</v>
      </c>
      <c r="R66" s="8" t="b">
        <f>_xlfn.XLOOKUP(CONTROL[[#This Row],[VEHIDCODE]],PROPERTIES[VEHIDCODE],PROPERTIES[EXCLUDE])</f>
        <v>0</v>
      </c>
    </row>
    <row r="67" spans="1:18">
      <c r="A67" s="2" t="s">
        <v>2790</v>
      </c>
      <c r="B67" s="26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7" t="s">
        <v>3592</v>
      </c>
      <c r="G67" t="s">
        <v>3593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6" t="str">
        <f>"item_"&amp;CONTROL[[#This Row],[VEHIDCODE]]</f>
        <v>item_steam_GWR_4_4_0_American</v>
      </c>
      <c r="P67" s="26" t="str">
        <f>"str_"&amp;CONTROL[[#This Row],[VEHIDCODE]]</f>
        <v>str_steam_GWR_4_4_0_American</v>
      </c>
      <c r="Q67" s="8" t="b">
        <f>_xlfn.XLOOKUP(CONTROL[[#This Row],[VEHIDCODE]],PROPERTIES[VEHIDCODE],PROPERTIES[IS_CONCEPT])="IS_CONCEPT"</f>
        <v>0</v>
      </c>
      <c r="R67" s="8" t="b">
        <f>_xlfn.XLOOKUP(CONTROL[[#This Row],[VEHIDCODE]],PROPERTIES[VEHIDCODE],PROPERTIES[EXCLUDE])</f>
        <v>0</v>
      </c>
    </row>
    <row r="68" spans="1:18">
      <c r="A68" s="2" t="s">
        <v>2791</v>
      </c>
      <c r="B68" s="26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7" t="s">
        <v>2167</v>
      </c>
      <c r="G68" t="s">
        <v>1143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6" t="str">
        <f>"item_"&amp;CONTROL[[#This Row],[VEHIDCODE]]</f>
        <v>item_steam_Esslingen_Ec_2_5</v>
      </c>
      <c r="P68" s="26" t="str">
        <f>"str_"&amp;CONTROL[[#This Row],[VEHIDCODE]]</f>
        <v>str_steam_Esslingen_Ec_2_5</v>
      </c>
      <c r="Q68" s="8" t="b">
        <f>_xlfn.XLOOKUP(CONTROL[[#This Row],[VEHIDCODE]],PROPERTIES[VEHIDCODE],PROPERTIES[IS_CONCEPT])="IS_CONCEPT"</f>
        <v>0</v>
      </c>
      <c r="R68" s="8" t="b">
        <f>_xlfn.XLOOKUP(CONTROL[[#This Row],[VEHIDCODE]],PROPERTIES[VEHIDCODE],PROPERTIES[EXCLUDE])</f>
        <v>0</v>
      </c>
    </row>
    <row r="69" spans="1:18">
      <c r="A69" s="2" t="s">
        <v>2792</v>
      </c>
      <c r="B69" s="26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7" t="s">
        <v>3594</v>
      </c>
      <c r="G69" t="s">
        <v>3595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6" t="str">
        <f>"item_"&amp;CONTROL[[#This Row],[VEHIDCODE]]</f>
        <v>item_steam_Norris_4_6_0_Ten_wheeler</v>
      </c>
      <c r="P69" s="26" t="str">
        <f>"str_"&amp;CONTROL[[#This Row],[VEHIDCODE]]</f>
        <v>str_steam_Norris_4_6_0_Ten_wheeler</v>
      </c>
      <c r="Q69" s="8" t="b">
        <f>_xlfn.XLOOKUP(CONTROL[[#This Row],[VEHIDCODE]],PROPERTIES[VEHIDCODE],PROPERTIES[IS_CONCEPT])="IS_CONCEPT"</f>
        <v>0</v>
      </c>
      <c r="R69" s="8" t="b">
        <f>_xlfn.XLOOKUP(CONTROL[[#This Row],[VEHIDCODE]],PROPERTIES[VEHIDCODE],PROPERTIES[EXCLUDE])</f>
        <v>0</v>
      </c>
    </row>
    <row r="70" spans="1:18">
      <c r="A70" s="2" t="s">
        <v>2793</v>
      </c>
      <c r="B70" s="26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7" t="s">
        <v>2168</v>
      </c>
      <c r="G70" t="s">
        <v>3596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6" t="str">
        <f>"item_"&amp;CONTROL[[#This Row],[VEHIDCODE]]</f>
        <v>item_steam_Baldwin_2_8_0_Consolidation</v>
      </c>
      <c r="P70" s="26" t="str">
        <f>"str_"&amp;CONTROL[[#This Row],[VEHIDCODE]]</f>
        <v>str_steam_Baldwin_2_8_0_Consolidation</v>
      </c>
      <c r="Q70" s="8" t="b">
        <f>_xlfn.XLOOKUP(CONTROL[[#This Row],[VEHIDCODE]],PROPERTIES[VEHIDCODE],PROPERTIES[IS_CONCEPT])="IS_CONCEPT"</f>
        <v>0</v>
      </c>
      <c r="R70" s="8" t="b">
        <f>_xlfn.XLOOKUP(CONTROL[[#This Row],[VEHIDCODE]],PROPERTIES[VEHIDCODE],PROPERTIES[EXCLUDE])</f>
        <v>0</v>
      </c>
    </row>
    <row r="71" spans="1:18">
      <c r="A71" s="2" t="s">
        <v>2794</v>
      </c>
      <c r="B71" s="26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7" t="s">
        <v>1753</v>
      </c>
      <c r="G71" t="s">
        <v>1144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6" t="str">
        <f>"item_"&amp;CONTROL[[#This Row],[VEHIDCODE]]</f>
        <v>item_steam_MAV_377</v>
      </c>
      <c r="P71" s="26" t="str">
        <f>"str_"&amp;CONTROL[[#This Row],[VEHIDCODE]]</f>
        <v>str_steam_MAV_377</v>
      </c>
      <c r="Q71" s="8" t="b">
        <f>_xlfn.XLOOKUP(CONTROL[[#This Row],[VEHIDCODE]],PROPERTIES[VEHIDCODE],PROPERTIES[IS_CONCEPT])="IS_CONCEPT"</f>
        <v>0</v>
      </c>
      <c r="R71" s="8" t="b">
        <f>_xlfn.XLOOKUP(CONTROL[[#This Row],[VEHIDCODE]],PROPERTIES[VEHIDCODE],PROPERTIES[EXCLUDE])</f>
        <v>0</v>
      </c>
    </row>
    <row r="72" spans="1:18">
      <c r="A72" s="2" t="s">
        <v>2795</v>
      </c>
      <c r="B72" s="26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7" t="s">
        <v>2169</v>
      </c>
      <c r="G72" t="s">
        <v>1145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6" t="str">
        <f>"item_"&amp;CONTROL[[#This Row],[VEHIDCODE]]</f>
        <v>item_steam_Krauss_KkStB_99</v>
      </c>
      <c r="P72" s="26" t="str">
        <f>"str_"&amp;CONTROL[[#This Row],[VEHIDCODE]]</f>
        <v>str_steam_Krauss_KkStB_99</v>
      </c>
      <c r="Q72" s="8" t="b">
        <f>_xlfn.XLOOKUP(CONTROL[[#This Row],[VEHIDCODE]],PROPERTIES[VEHIDCODE],PROPERTIES[IS_CONCEPT])="IS_CONCEPT"</f>
        <v>0</v>
      </c>
      <c r="R72" s="8" t="b">
        <f>_xlfn.XLOOKUP(CONTROL[[#This Row],[VEHIDCODE]],PROPERTIES[VEHIDCODE],PROPERTIES[EXCLUDE])</f>
        <v>0</v>
      </c>
    </row>
    <row r="73" spans="1:18">
      <c r="A73" s="2" t="s">
        <v>2796</v>
      </c>
      <c r="B73" s="26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7" t="s">
        <v>2170</v>
      </c>
      <c r="G73" t="s">
        <v>1146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6" t="str">
        <f>"item_"&amp;CONTROL[[#This Row],[VEHIDCODE]]</f>
        <v>item_steam_McIntosh__Caledonian_Railway__439</v>
      </c>
      <c r="P73" s="26" t="str">
        <f>"str_"&amp;CONTROL[[#This Row],[VEHIDCODE]]</f>
        <v>str_steam_McIntosh__Caledonian_Railway__439</v>
      </c>
      <c r="Q73" s="8" t="b">
        <f>_xlfn.XLOOKUP(CONTROL[[#This Row],[VEHIDCODE]],PROPERTIES[VEHIDCODE],PROPERTIES[IS_CONCEPT])="IS_CONCEPT"</f>
        <v>0</v>
      </c>
      <c r="R73" s="8" t="b">
        <f>_xlfn.XLOOKUP(CONTROL[[#This Row],[VEHIDCODE]],PROPERTIES[VEHIDCODE],PROPERTIES[EXCLUDE])</f>
        <v>0</v>
      </c>
    </row>
    <row r="74" spans="1:18">
      <c r="A74" s="2" t="s">
        <v>2797</v>
      </c>
      <c r="B74" s="26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7" t="s">
        <v>2171</v>
      </c>
      <c r="G74" t="s">
        <v>1147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6" t="str">
        <f>"item_"&amp;CONTROL[[#This Row],[VEHIDCODE]]</f>
        <v>item_steam_SLM_Winterthur_A_3_5</v>
      </c>
      <c r="P74" s="26" t="str">
        <f>"str_"&amp;CONTROL[[#This Row],[VEHIDCODE]]</f>
        <v>str_steam_SLM_Winterthur_A_3_5</v>
      </c>
      <c r="Q74" s="8" t="b">
        <f>_xlfn.XLOOKUP(CONTROL[[#This Row],[VEHIDCODE]],PROPERTIES[VEHIDCODE],PROPERTIES[IS_CONCEPT])="IS_CONCEPT"</f>
        <v>0</v>
      </c>
      <c r="R74" s="8" t="b">
        <f>_xlfn.XLOOKUP(CONTROL[[#This Row],[VEHIDCODE]],PROPERTIES[VEHIDCODE],PROPERTIES[EXCLUDE])</f>
        <v>0</v>
      </c>
    </row>
    <row r="75" spans="1:18">
      <c r="A75" s="2" t="s">
        <v>2798</v>
      </c>
      <c r="B75" s="26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7" t="s">
        <v>2172</v>
      </c>
      <c r="G75" t="s">
        <v>1148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6" t="str">
        <f>"item_"&amp;CONTROL[[#This Row],[VEHIDCODE]]</f>
        <v>item_steam_SLM_Winterthur_E_3_3</v>
      </c>
      <c r="P75" s="26" t="str">
        <f>"str_"&amp;CONTROL[[#This Row],[VEHIDCODE]]</f>
        <v>str_steam_SLM_Winterthur_E_3_3</v>
      </c>
      <c r="Q75" s="8" t="b">
        <f>_xlfn.XLOOKUP(CONTROL[[#This Row],[VEHIDCODE]],PROPERTIES[VEHIDCODE],PROPERTIES[IS_CONCEPT])="IS_CONCEPT"</f>
        <v>0</v>
      </c>
      <c r="R75" s="8" t="b">
        <f>_xlfn.XLOOKUP(CONTROL[[#This Row],[VEHIDCODE]],PROPERTIES[VEHIDCODE],PROPERTIES[EXCLUDE])</f>
        <v>0</v>
      </c>
    </row>
    <row r="76" spans="1:18">
      <c r="A76" s="2" t="s">
        <v>2799</v>
      </c>
      <c r="B76" s="26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7" t="s">
        <v>2173</v>
      </c>
      <c r="G76" t="s">
        <v>1149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6" t="str">
        <f>"item_"&amp;CONTROL[[#This Row],[VEHIDCODE]]</f>
        <v>item_steam_Krauss_299</v>
      </c>
      <c r="P76" s="26" t="str">
        <f>"str_"&amp;CONTROL[[#This Row],[VEHIDCODE]]</f>
        <v>str_steam_Krauss_299</v>
      </c>
      <c r="Q76" s="8" t="b">
        <f>_xlfn.XLOOKUP(CONTROL[[#This Row],[VEHIDCODE]],PROPERTIES[VEHIDCODE],PROPERTIES[IS_CONCEPT])="IS_CONCEPT"</f>
        <v>0</v>
      </c>
      <c r="R76" s="8" t="b">
        <f>_xlfn.XLOOKUP(CONTROL[[#This Row],[VEHIDCODE]],PROPERTIES[VEHIDCODE],PROPERTIES[EXCLUDE])</f>
        <v>0</v>
      </c>
    </row>
    <row r="77" spans="1:18">
      <c r="A77" s="2" t="s">
        <v>2800</v>
      </c>
      <c r="B77" s="26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7" t="s">
        <v>386</v>
      </c>
      <c r="G77" t="s">
        <v>1150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6" t="str">
        <f>"item_"&amp;CONTROL[[#This Row],[VEHIDCODE]]</f>
        <v>item_steam_NZR_X</v>
      </c>
      <c r="P77" s="26" t="str">
        <f>"str_"&amp;CONTROL[[#This Row],[VEHIDCODE]]</f>
        <v>str_steam_NZR_X</v>
      </c>
      <c r="Q77" s="8" t="b">
        <f>_xlfn.XLOOKUP(CONTROL[[#This Row],[VEHIDCODE]],PROPERTIES[VEHIDCODE],PROPERTIES[IS_CONCEPT])="IS_CONCEPT"</f>
        <v>0</v>
      </c>
      <c r="R77" s="8" t="b">
        <f>_xlfn.XLOOKUP(CONTROL[[#This Row],[VEHIDCODE]],PROPERTIES[VEHIDCODE],PROPERTIES[EXCLUDE])</f>
        <v>0</v>
      </c>
    </row>
    <row r="78" spans="1:18">
      <c r="A78" s="2" t="s">
        <v>3532</v>
      </c>
      <c r="B78" s="26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7" t="s">
        <v>3628</v>
      </c>
      <c r="G78" t="s">
        <v>1151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6" t="str">
        <f>"item_"&amp;CONTROL[[#This Row],[VEHIDCODE]]</f>
        <v>item_steam_MaVAG_375</v>
      </c>
      <c r="P78" s="26" t="str">
        <f>"str_"&amp;CONTROL[[#This Row],[VEHIDCODE]]</f>
        <v>str_steam_MaVAG_375</v>
      </c>
      <c r="Q78" s="8" t="b">
        <f>_xlfn.XLOOKUP(CONTROL[[#This Row],[VEHIDCODE]],PROPERTIES[VEHIDCODE],PROPERTIES[IS_CONCEPT])="IS_CONCEPT"</f>
        <v>0</v>
      </c>
      <c r="R78" s="8" t="b">
        <f>_xlfn.XLOOKUP(CONTROL[[#This Row],[VEHIDCODE]],PROPERTIES[VEHIDCODE],PROPERTIES[EXCLUDE])</f>
        <v>0</v>
      </c>
    </row>
    <row r="79" spans="1:18">
      <c r="A79" s="2" t="s">
        <v>2801</v>
      </c>
      <c r="B79" s="26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7" t="s">
        <v>387</v>
      </c>
      <c r="G79" t="s">
        <v>1152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6" t="str">
        <f>"item_"&amp;CONTROL[[#This Row],[VEHIDCODE]]</f>
        <v>item_steam_FS_880</v>
      </c>
      <c r="P79" s="26" t="str">
        <f>"str_"&amp;CONTROL[[#This Row],[VEHIDCODE]]</f>
        <v>str_steam_FS_880</v>
      </c>
      <c r="Q79" s="8" t="b">
        <f>_xlfn.XLOOKUP(CONTROL[[#This Row],[VEHIDCODE]],PROPERTIES[VEHIDCODE],PROPERTIES[IS_CONCEPT])="IS_CONCEPT"</f>
        <v>0</v>
      </c>
      <c r="R79" s="8" t="b">
        <f>_xlfn.XLOOKUP(CONTROL[[#This Row],[VEHIDCODE]],PROPERTIES[VEHIDCODE],PROPERTIES[EXCLUDE])</f>
        <v>0</v>
      </c>
    </row>
    <row r="80" spans="1:18">
      <c r="A80" s="2" t="s">
        <v>2802</v>
      </c>
      <c r="B80" s="26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7" t="s">
        <v>388</v>
      </c>
      <c r="G80" t="s">
        <v>1153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6" t="str">
        <f>"item_"&amp;CONTROL[[#This Row],[VEHIDCODE]]</f>
        <v>item_steam_FCNEA_11B_2_8_0</v>
      </c>
      <c r="P80" s="26" t="str">
        <f>"str_"&amp;CONTROL[[#This Row],[VEHIDCODE]]</f>
        <v>str_steam_FCNEA_11B_2_8_0</v>
      </c>
      <c r="Q80" s="8" t="b">
        <f>_xlfn.XLOOKUP(CONTROL[[#This Row],[VEHIDCODE]],PROPERTIES[VEHIDCODE],PROPERTIES[IS_CONCEPT])="IS_CONCEPT"</f>
        <v>0</v>
      </c>
      <c r="R80" s="8" t="b">
        <f>_xlfn.XLOOKUP(CONTROL[[#This Row],[VEHIDCODE]],PROPERTIES[VEHIDCODE],PROPERTIES[EXCLUDE])</f>
        <v>0</v>
      </c>
    </row>
    <row r="81" spans="1:18">
      <c r="A81" s="2" t="s">
        <v>2803</v>
      </c>
      <c r="B81" s="26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7" t="s">
        <v>2174</v>
      </c>
      <c r="G81" t="s">
        <v>1701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6" t="str">
        <f>"item_"&amp;CONTROL[[#This Row],[VEHIDCODE]]</f>
        <v>item_steam_Schneider_et_Cie_140C</v>
      </c>
      <c r="P81" s="26" t="str">
        <f>"str_"&amp;CONTROL[[#This Row],[VEHIDCODE]]</f>
        <v>str_steam_Schneider_et_Cie_140C</v>
      </c>
      <c r="Q81" s="8" t="b">
        <f>_xlfn.XLOOKUP(CONTROL[[#This Row],[VEHIDCODE]],PROPERTIES[VEHIDCODE],PROPERTIES[IS_CONCEPT])="IS_CONCEPT"</f>
        <v>0</v>
      </c>
      <c r="R81" s="8" t="b">
        <f>_xlfn.XLOOKUP(CONTROL[[#This Row],[VEHIDCODE]],PROPERTIES[VEHIDCODE],PROPERTIES[EXCLUDE])</f>
        <v>0</v>
      </c>
    </row>
    <row r="82" spans="1:18">
      <c r="A82" s="2" t="s">
        <v>3555</v>
      </c>
      <c r="B82" s="26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7" t="s">
        <v>3556</v>
      </c>
      <c r="G82" t="s">
        <v>1700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6" t="str">
        <f>"item_"&amp;CONTROL[[#This Row],[VEHIDCODE]]</f>
        <v>item_steam_Union_Giesserei_2_8_2T</v>
      </c>
      <c r="P82" s="26" t="str">
        <f>"str_"&amp;CONTROL[[#This Row],[VEHIDCODE]]</f>
        <v>str_steam_Union_Giesserei_2_8_2T</v>
      </c>
      <c r="Q82" s="8" t="b">
        <f>_xlfn.XLOOKUP(CONTROL[[#This Row],[VEHIDCODE]],PROPERTIES[VEHIDCODE],PROPERTIES[IS_CONCEPT])="IS_CONCEPT"</f>
        <v>0</v>
      </c>
      <c r="R82" s="8" t="b">
        <f>_xlfn.XLOOKUP(CONTROL[[#This Row],[VEHIDCODE]],PROPERTIES[VEHIDCODE],PROPERTIES[EXCLUDE])</f>
        <v>0</v>
      </c>
    </row>
    <row r="83" spans="1:18">
      <c r="A83" s="2" t="s">
        <v>2804</v>
      </c>
      <c r="B83" s="26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7" t="s">
        <v>1155</v>
      </c>
      <c r="G83" t="s">
        <v>1154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6" t="str">
        <f>"item_"&amp;CONTROL[[#This Row],[VEHIDCODE]]</f>
        <v>item_steam_GWR_4900_Hall</v>
      </c>
      <c r="P83" s="26" t="str">
        <f>"str_"&amp;CONTROL[[#This Row],[VEHIDCODE]]</f>
        <v>str_steam_GWR_4900_Hall</v>
      </c>
      <c r="Q83" s="8" t="b">
        <f>_xlfn.XLOOKUP(CONTROL[[#This Row],[VEHIDCODE]],PROPERTIES[VEHIDCODE],PROPERTIES[IS_CONCEPT])="IS_CONCEPT"</f>
        <v>0</v>
      </c>
      <c r="R83" s="8" t="b">
        <f>_xlfn.XLOOKUP(CONTROL[[#This Row],[VEHIDCODE]],PROPERTIES[VEHIDCODE],PROPERTIES[EXCLUDE])</f>
        <v>0</v>
      </c>
    </row>
    <row r="84" spans="1:18">
      <c r="A84" s="2" t="s">
        <v>2805</v>
      </c>
      <c r="B84" s="26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7" t="s">
        <v>1156</v>
      </c>
      <c r="G84" t="s">
        <v>1157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6" t="str">
        <f>"item_"&amp;CONTROL[[#This Row],[VEHIDCODE]]</f>
        <v>item_steam_GWR_5700_Pannier</v>
      </c>
      <c r="P84" s="26" t="str">
        <f>"str_"&amp;CONTROL[[#This Row],[VEHIDCODE]]</f>
        <v>str_steam_GWR_5700_Pannier</v>
      </c>
      <c r="Q84" s="8" t="b">
        <f>_xlfn.XLOOKUP(CONTROL[[#This Row],[VEHIDCODE]],PROPERTIES[VEHIDCODE],PROPERTIES[IS_CONCEPT])="IS_CONCEPT"</f>
        <v>0</v>
      </c>
      <c r="R84" s="8" t="b">
        <f>_xlfn.XLOOKUP(CONTROL[[#This Row],[VEHIDCODE]],PROPERTIES[VEHIDCODE],PROPERTIES[EXCLUDE])</f>
        <v>0</v>
      </c>
    </row>
    <row r="85" spans="1:18">
      <c r="A85" s="2" t="s">
        <v>2806</v>
      </c>
      <c r="B85" s="26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7" t="s">
        <v>2684</v>
      </c>
      <c r="G85" t="s">
        <v>1158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6" t="str">
        <f>"item_"&amp;CONTROL[[#This Row],[VEHIDCODE]]</f>
        <v>item_steam_Henschel___Sohn_series_6300</v>
      </c>
      <c r="P85" s="26" t="str">
        <f>"str_"&amp;CONTROL[[#This Row],[VEHIDCODE]]</f>
        <v>str_steam_Henschel___Sohn_series_6300</v>
      </c>
      <c r="Q85" s="8" t="b">
        <f>_xlfn.XLOOKUP(CONTROL[[#This Row],[VEHIDCODE]],PROPERTIES[VEHIDCODE],PROPERTIES[IS_CONCEPT])="IS_CONCEPT"</f>
        <v>0</v>
      </c>
      <c r="R85" s="8" t="b">
        <f>_xlfn.XLOOKUP(CONTROL[[#This Row],[VEHIDCODE]],PROPERTIES[VEHIDCODE],PROPERTIES[EXCLUDE])</f>
        <v>0</v>
      </c>
    </row>
    <row r="86" spans="1:18">
      <c r="A86" s="2" t="s">
        <v>2807</v>
      </c>
      <c r="B86" s="26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7" t="s">
        <v>2175</v>
      </c>
      <c r="G86" t="s">
        <v>1159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6" t="str">
        <f>"item_"&amp;CONTROL[[#This Row],[VEHIDCODE]]</f>
        <v>item_steam_Baldwin_5000_Madame_Queen</v>
      </c>
      <c r="P86" s="26" t="str">
        <f>"str_"&amp;CONTROL[[#This Row],[VEHIDCODE]]</f>
        <v>str_steam_Baldwin_5000_Madame_Queen</v>
      </c>
      <c r="Q86" s="8" t="b">
        <f>_xlfn.XLOOKUP(CONTROL[[#This Row],[VEHIDCODE]],PROPERTIES[VEHIDCODE],PROPERTIES[IS_CONCEPT])="IS_CONCEPT"</f>
        <v>0</v>
      </c>
      <c r="R86" s="8" t="b">
        <f>_xlfn.XLOOKUP(CONTROL[[#This Row],[VEHIDCODE]],PROPERTIES[VEHIDCODE],PROPERTIES[EXCLUDE])</f>
        <v>0</v>
      </c>
    </row>
    <row r="87" spans="1:18">
      <c r="A87" s="2" t="s">
        <v>2808</v>
      </c>
      <c r="B87" s="26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7" t="s">
        <v>2176</v>
      </c>
      <c r="G87" t="s">
        <v>1160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6" t="str">
        <f>"item_"&amp;CONTROL[[#This Row],[VEHIDCODE]]</f>
        <v>item_steam_Schwartzkopff_S_10_Prussian</v>
      </c>
      <c r="P87" s="26" t="str">
        <f>"str_"&amp;CONTROL[[#This Row],[VEHIDCODE]]</f>
        <v>str_steam_Schwartzkopff_S_10_Prussian</v>
      </c>
      <c r="Q87" s="8" t="b">
        <f>_xlfn.XLOOKUP(CONTROL[[#This Row],[VEHIDCODE]],PROPERTIES[VEHIDCODE],PROPERTIES[IS_CONCEPT])="IS_CONCEPT"</f>
        <v>0</v>
      </c>
      <c r="R87" s="8" t="b">
        <f>_xlfn.XLOOKUP(CONTROL[[#This Row],[VEHIDCODE]],PROPERTIES[VEHIDCODE],PROPERTIES[EXCLUDE])</f>
        <v>0</v>
      </c>
    </row>
    <row r="88" spans="1:18">
      <c r="A88" s="2" t="s">
        <v>2809</v>
      </c>
      <c r="B88" s="26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7" t="s">
        <v>389</v>
      </c>
      <c r="G88" t="s">
        <v>1161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6" t="str">
        <f>"item_"&amp;CONTROL[[#This Row],[VEHIDCODE]]</f>
        <v>item_steam_LMS_5MT_Black_Five</v>
      </c>
      <c r="P88" s="26" t="str">
        <f>"str_"&amp;CONTROL[[#This Row],[VEHIDCODE]]</f>
        <v>str_steam_LMS_5MT_Black_Five</v>
      </c>
      <c r="Q88" s="8" t="b">
        <f>_xlfn.XLOOKUP(CONTROL[[#This Row],[VEHIDCODE]],PROPERTIES[VEHIDCODE],PROPERTIES[IS_CONCEPT])="IS_CONCEPT"</f>
        <v>0</v>
      </c>
      <c r="R88" s="8" t="b">
        <f>_xlfn.XLOOKUP(CONTROL[[#This Row],[VEHIDCODE]],PROPERTIES[VEHIDCODE],PROPERTIES[EXCLUDE])</f>
        <v>0</v>
      </c>
    </row>
    <row r="89" spans="1:18">
      <c r="A89" s="2" t="s">
        <v>2810</v>
      </c>
      <c r="B89" s="26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7" t="s">
        <v>3588</v>
      </c>
      <c r="G89" t="s">
        <v>1162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6" t="str">
        <f>"item_"&amp;CONTROL[[#This Row],[VEHIDCODE]]</f>
        <v>item_steam_Kolomena_9P</v>
      </c>
      <c r="P89" s="26" t="str">
        <f>"str_"&amp;CONTROL[[#This Row],[VEHIDCODE]]</f>
        <v>str_steam_Kolomena_9P</v>
      </c>
      <c r="Q89" s="8" t="b">
        <f>_xlfn.XLOOKUP(CONTROL[[#This Row],[VEHIDCODE]],PROPERTIES[VEHIDCODE],PROPERTIES[IS_CONCEPT])="IS_CONCEPT"</f>
        <v>0</v>
      </c>
      <c r="R89" s="8" t="b">
        <f>_xlfn.XLOOKUP(CONTROL[[#This Row],[VEHIDCODE]],PROPERTIES[VEHIDCODE],PROPERTIES[EXCLUDE])</f>
        <v>0</v>
      </c>
    </row>
    <row r="90" spans="1:18">
      <c r="A90" s="2" t="s">
        <v>2811</v>
      </c>
      <c r="B90" s="26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7" t="s">
        <v>390</v>
      </c>
      <c r="G90" t="s">
        <v>1163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6" t="str">
        <f>"item_"&amp;CONTROL[[#This Row],[VEHIDCODE]]</f>
        <v>item_steam_LNER_A4_Gresley</v>
      </c>
      <c r="P90" s="26" t="str">
        <f>"str_"&amp;CONTROL[[#This Row],[VEHIDCODE]]</f>
        <v>str_steam_LNER_A4_Gresley</v>
      </c>
      <c r="Q90" s="8" t="b">
        <f>_xlfn.XLOOKUP(CONTROL[[#This Row],[VEHIDCODE]],PROPERTIES[VEHIDCODE],PROPERTIES[IS_CONCEPT])="IS_CONCEPT"</f>
        <v>0</v>
      </c>
      <c r="R90" s="8" t="b">
        <f>_xlfn.XLOOKUP(CONTROL[[#This Row],[VEHIDCODE]],PROPERTIES[VEHIDCODE],PROPERTIES[EXCLUDE])</f>
        <v>0</v>
      </c>
    </row>
    <row r="91" spans="1:18">
      <c r="A91" s="2" t="s">
        <v>2812</v>
      </c>
      <c r="B91" s="26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7" t="s">
        <v>2177</v>
      </c>
      <c r="G91" t="s">
        <v>1164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6" t="str">
        <f>"item_"&amp;CONTROL[[#This Row],[VEHIDCODE]]</f>
        <v>item_steam_MLW_Royal_Hudson</v>
      </c>
      <c r="P91" s="26" t="str">
        <f>"str_"&amp;CONTROL[[#This Row],[VEHIDCODE]]</f>
        <v>str_steam_MLW_Royal_Hudson</v>
      </c>
      <c r="Q91" s="8" t="b">
        <f>_xlfn.XLOOKUP(CONTROL[[#This Row],[VEHIDCODE]],PROPERTIES[VEHIDCODE],PROPERTIES[IS_CONCEPT])="IS_CONCEPT"</f>
        <v>0</v>
      </c>
      <c r="R91" s="8" t="b">
        <f>_xlfn.XLOOKUP(CONTROL[[#This Row],[VEHIDCODE]],PROPERTIES[VEHIDCODE],PROPERTIES[EXCLUDE])</f>
        <v>0</v>
      </c>
    </row>
    <row r="92" spans="1:18">
      <c r="A92" s="2" t="s">
        <v>2813</v>
      </c>
      <c r="B92" s="26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7" t="s">
        <v>2178</v>
      </c>
      <c r="G92" t="s">
        <v>1702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6" t="str">
        <f>"item_"&amp;CONTROL[[#This Row],[VEHIDCODE]]</f>
        <v>item_steam_NOHAB_4_6_2_F</v>
      </c>
      <c r="P92" s="26" t="str">
        <f>"str_"&amp;CONTROL[[#This Row],[VEHIDCODE]]</f>
        <v>str_steam_NOHAB_4_6_2_F</v>
      </c>
      <c r="Q92" s="8" t="b">
        <f>_xlfn.XLOOKUP(CONTROL[[#This Row],[VEHIDCODE]],PROPERTIES[VEHIDCODE],PROPERTIES[IS_CONCEPT])="IS_CONCEPT"</f>
        <v>0</v>
      </c>
      <c r="R92" s="8" t="b">
        <f>_xlfn.XLOOKUP(CONTROL[[#This Row],[VEHIDCODE]],PROPERTIES[VEHIDCODE],PROPERTIES[EXCLUDE])</f>
        <v>0</v>
      </c>
    </row>
    <row r="93" spans="1:18">
      <c r="A93" s="2" t="s">
        <v>2814</v>
      </c>
      <c r="B93" s="26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7" t="s">
        <v>2179</v>
      </c>
      <c r="G93" t="s">
        <v>1698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6" t="str">
        <f>"item_"&amp;CONTROL[[#This Row],[VEHIDCODE]]</f>
        <v>item_steam_GGL_HAS_52</v>
      </c>
      <c r="P93" s="26" t="str">
        <f>"str_"&amp;CONTROL[[#This Row],[VEHIDCODE]]</f>
        <v>str_steam_GGL_HAS_52</v>
      </c>
      <c r="Q93" s="8" t="b">
        <f>_xlfn.XLOOKUP(CONTROL[[#This Row],[VEHIDCODE]],PROPERTIES[VEHIDCODE],PROPERTIES[IS_CONCEPT])="IS_CONCEPT"</f>
        <v>0</v>
      </c>
      <c r="R93" s="8" t="b">
        <f>_xlfn.XLOOKUP(CONTROL[[#This Row],[VEHIDCODE]],PROPERTIES[VEHIDCODE],PROPERTIES[EXCLUDE])</f>
        <v>0</v>
      </c>
    </row>
    <row r="94" spans="1:18">
      <c r="A94" s="2" t="s">
        <v>2815</v>
      </c>
      <c r="B94" s="26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7" t="s">
        <v>2180</v>
      </c>
      <c r="G94" t="s">
        <v>1165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6" t="str">
        <f>"item_"&amp;CONTROL[[#This Row],[VEHIDCODE]]</f>
        <v>item_steam_Doncaster_Darlington_Peppercorn</v>
      </c>
      <c r="P94" s="26" t="str">
        <f>"str_"&amp;CONTROL[[#This Row],[VEHIDCODE]]</f>
        <v>str_steam_Doncaster_Darlington_Peppercorn</v>
      </c>
      <c r="Q94" s="8" t="b">
        <f>_xlfn.XLOOKUP(CONTROL[[#This Row],[VEHIDCODE]],PROPERTIES[VEHIDCODE],PROPERTIES[IS_CONCEPT])="IS_CONCEPT"</f>
        <v>0</v>
      </c>
      <c r="R94" s="8" t="b">
        <f>_xlfn.XLOOKUP(CONTROL[[#This Row],[VEHIDCODE]],PROPERTIES[VEHIDCODE],PROPERTIES[EXCLUDE])</f>
        <v>0</v>
      </c>
    </row>
    <row r="95" spans="1:18">
      <c r="A95" s="2" t="s">
        <v>2816</v>
      </c>
      <c r="B95" s="26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7" t="s">
        <v>2181</v>
      </c>
      <c r="G95" t="s">
        <v>1166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6" t="str">
        <f>"item_"&amp;CONTROL[[#This Row],[VEHIDCODE]]</f>
        <v>item_steam_Henschel___Son_Condenser</v>
      </c>
      <c r="P95" s="26" t="str">
        <f>"str_"&amp;CONTROL[[#This Row],[VEHIDCODE]]</f>
        <v>str_steam_Henschel___Son_Condenser</v>
      </c>
      <c r="Q95" s="8" t="b">
        <f>_xlfn.XLOOKUP(CONTROL[[#This Row],[VEHIDCODE]],PROPERTIES[VEHIDCODE],PROPERTIES[IS_CONCEPT])="IS_CONCEPT"</f>
        <v>0</v>
      </c>
      <c r="R95" s="8" t="b">
        <f>_xlfn.XLOOKUP(CONTROL[[#This Row],[VEHIDCODE]],PROPERTIES[VEHIDCODE],PROPERTIES[EXCLUDE])</f>
        <v>0</v>
      </c>
    </row>
    <row r="96" spans="1:18">
      <c r="A96" s="2" t="s">
        <v>2817</v>
      </c>
      <c r="B96" s="26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7" t="s">
        <v>3589</v>
      </c>
      <c r="G96" t="s">
        <v>1167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6" t="str">
        <f>"item_"&amp;CONTROL[[#This Row],[VEHIDCODE]]</f>
        <v>item_steam_Kolomena_P36</v>
      </c>
      <c r="P96" s="26" t="str">
        <f>"str_"&amp;CONTROL[[#This Row],[VEHIDCODE]]</f>
        <v>str_steam_Kolomena_P36</v>
      </c>
      <c r="Q96" s="8" t="b">
        <f>_xlfn.XLOOKUP(CONTROL[[#This Row],[VEHIDCODE]],PROPERTIES[VEHIDCODE],PROPERTIES[IS_CONCEPT])="IS_CONCEPT"</f>
        <v>0</v>
      </c>
      <c r="R96" s="8" t="b">
        <f>_xlfn.XLOOKUP(CONTROL[[#This Row],[VEHIDCODE]],PROPERTIES[VEHIDCODE],PROPERTIES[EXCLUDE])</f>
        <v>0</v>
      </c>
    </row>
    <row r="97" spans="1:18">
      <c r="A97" s="2" t="s">
        <v>2818</v>
      </c>
      <c r="B97" s="26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7" t="s">
        <v>2182</v>
      </c>
      <c r="G97" t="s">
        <v>1168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6" t="str">
        <f>"item_"&amp;CONTROL[[#This Row],[VEHIDCODE]]</f>
        <v>item_steam_ANF_DEL_150B</v>
      </c>
      <c r="P97" s="26" t="str">
        <f>"str_"&amp;CONTROL[[#This Row],[VEHIDCODE]]</f>
        <v>str_steam_ANF_DEL_150B</v>
      </c>
      <c r="Q97" s="8" t="b">
        <f>_xlfn.XLOOKUP(CONTROL[[#This Row],[VEHIDCODE]],PROPERTIES[VEHIDCODE],PROPERTIES[IS_CONCEPT])="IS_CONCEPT"</f>
        <v>0</v>
      </c>
      <c r="R97" s="8" t="b">
        <f>_xlfn.XLOOKUP(CONTROL[[#This Row],[VEHIDCODE]],PROPERTIES[VEHIDCODE],PROPERTIES[EXCLUDE])</f>
        <v>0</v>
      </c>
    </row>
    <row r="98" spans="1:18">
      <c r="A98" s="2" t="s">
        <v>2819</v>
      </c>
      <c r="B98" s="26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7" t="s">
        <v>2683</v>
      </c>
      <c r="G98" t="s">
        <v>1169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6" t="str">
        <f>"item_"&amp;CONTROL[[#This Row],[VEHIDCODE]]</f>
        <v>item_steam_Henschel_895</v>
      </c>
      <c r="P98" s="26" t="str">
        <f>"str_"&amp;CONTROL[[#This Row],[VEHIDCODE]]</f>
        <v>str_steam_Henschel_895</v>
      </c>
      <c r="Q98" s="8" t="b">
        <f>_xlfn.XLOOKUP(CONTROL[[#This Row],[VEHIDCODE]],PROPERTIES[VEHIDCODE],PROPERTIES[IS_CONCEPT])="IS_CONCEPT"</f>
        <v>0</v>
      </c>
      <c r="R98" s="8" t="b">
        <f>_xlfn.XLOOKUP(CONTROL[[#This Row],[VEHIDCODE]],PROPERTIES[VEHIDCODE],PROPERTIES[EXCLUDE])</f>
        <v>0</v>
      </c>
    </row>
    <row r="99" spans="1:18">
      <c r="A99" s="2" t="s">
        <v>2820</v>
      </c>
      <c r="B99" s="26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7" t="s">
        <v>2183</v>
      </c>
      <c r="G99" t="s">
        <v>1170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6" t="str">
        <f>"item_"&amp;CONTROL[[#This Row],[VEHIDCODE]]</f>
        <v>item_steam_H__Cegielski_OKz32</v>
      </c>
      <c r="P99" s="26" t="str">
        <f>"str_"&amp;CONTROL[[#This Row],[VEHIDCODE]]</f>
        <v>str_steam_H__Cegielski_OKz32</v>
      </c>
      <c r="Q99" s="8" t="b">
        <f>_xlfn.XLOOKUP(CONTROL[[#This Row],[VEHIDCODE]],PROPERTIES[VEHIDCODE],PROPERTIES[IS_CONCEPT])="IS_CONCEPT"</f>
        <v>0</v>
      </c>
      <c r="R99" s="8" t="b">
        <f>_xlfn.XLOOKUP(CONTROL[[#This Row],[VEHIDCODE]],PROPERTIES[VEHIDCODE],PROPERTIES[EXCLUDE])</f>
        <v>0</v>
      </c>
    </row>
    <row r="100" spans="1:18">
      <c r="A100" s="2" t="s">
        <v>2821</v>
      </c>
      <c r="B100" s="26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7" t="s">
        <v>2184</v>
      </c>
      <c r="G100" t="s">
        <v>1171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6" t="str">
        <f>"item_"&amp;CONTROL[[#This Row],[VEHIDCODE]]</f>
        <v>item_steam_SLM_C_5_6_Elephant</v>
      </c>
      <c r="P100" s="26" t="str">
        <f>"str_"&amp;CONTROL[[#This Row],[VEHIDCODE]]</f>
        <v>str_steam_SLM_C_5_6_Elephant</v>
      </c>
      <c r="Q100" s="8" t="b">
        <f>_xlfn.XLOOKUP(CONTROL[[#This Row],[VEHIDCODE]],PROPERTIES[VEHIDCODE],PROPERTIES[IS_CONCEPT])="IS_CONCEPT"</f>
        <v>0</v>
      </c>
      <c r="R100" s="8" t="b">
        <f>_xlfn.XLOOKUP(CONTROL[[#This Row],[VEHIDCODE]],PROPERTIES[VEHIDCODE],PROPERTIES[EXCLUDE])</f>
        <v>0</v>
      </c>
    </row>
    <row r="101" spans="1:18">
      <c r="A101" s="2" t="s">
        <v>2822</v>
      </c>
      <c r="B101" s="26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7" t="s">
        <v>2682</v>
      </c>
      <c r="G101" t="s">
        <v>1172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6" t="str">
        <f>"item_"&amp;CONTROL[[#This Row],[VEHIDCODE]]</f>
        <v>item_steam_ALCO_series_4000_4_8_8_4_Big_Boy</v>
      </c>
      <c r="P101" s="26" t="str">
        <f>"str_"&amp;CONTROL[[#This Row],[VEHIDCODE]]</f>
        <v>str_steam_ALCO_series_4000_4_8_8_4_Big_Boy</v>
      </c>
      <c r="Q101" s="8" t="b">
        <f>_xlfn.XLOOKUP(CONTROL[[#This Row],[VEHIDCODE]],PROPERTIES[VEHIDCODE],PROPERTIES[IS_CONCEPT])="IS_CONCEPT"</f>
        <v>0</v>
      </c>
      <c r="R101" s="8" t="b">
        <f>_xlfn.XLOOKUP(CONTROL[[#This Row],[VEHIDCODE]],PROPERTIES[VEHIDCODE],PROPERTIES[EXCLUDE])</f>
        <v>0</v>
      </c>
    </row>
    <row r="102" spans="1:18">
      <c r="A102" s="2" t="s">
        <v>2823</v>
      </c>
      <c r="B102" s="26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7" t="s">
        <v>3648</v>
      </c>
      <c r="G102" t="s">
        <v>1173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6" t="str">
        <f>"item_"&amp;CONTROL[[#This Row],[VEHIDCODE]]</f>
        <v>item_steam_Sharp_Stewart_3557_3565</v>
      </c>
      <c r="P102" s="26" t="str">
        <f>"str_"&amp;CONTROL[[#This Row],[VEHIDCODE]]</f>
        <v>str_steam_Sharp_Stewart_3557_3565</v>
      </c>
      <c r="Q102" s="8" t="b">
        <f>_xlfn.XLOOKUP(CONTROL[[#This Row],[VEHIDCODE]],PROPERTIES[VEHIDCODE],PROPERTIES[IS_CONCEPT])="IS_CONCEPT"</f>
        <v>0</v>
      </c>
      <c r="R102" s="8" t="b">
        <f>_xlfn.XLOOKUP(CONTROL[[#This Row],[VEHIDCODE]],PROPERTIES[VEHIDCODE],PROPERTIES[EXCLUDE])</f>
        <v>0</v>
      </c>
    </row>
    <row r="103" spans="1:18">
      <c r="A103" s="2" t="s">
        <v>2824</v>
      </c>
      <c r="B103" s="26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7" t="s">
        <v>391</v>
      </c>
      <c r="G103" t="s">
        <v>1174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6" t="str">
        <f>"item_"&amp;CONTROL[[#This Row],[VEHIDCODE]]</f>
        <v>item_steam_GWR_Iron_Duke</v>
      </c>
      <c r="P103" s="26" t="str">
        <f>"str_"&amp;CONTROL[[#This Row],[VEHIDCODE]]</f>
        <v>str_steam_GWR_Iron_Duke</v>
      </c>
      <c r="Q103" s="8" t="b">
        <f>_xlfn.XLOOKUP(CONTROL[[#This Row],[VEHIDCODE]],PROPERTIES[VEHIDCODE],PROPERTIES[IS_CONCEPT])="IS_CONCEPT"</f>
        <v>0</v>
      </c>
      <c r="R103" s="8" t="b">
        <f>_xlfn.XLOOKUP(CONTROL[[#This Row],[VEHIDCODE]],PROPERTIES[VEHIDCODE],PROPERTIES[EXCLUDE])</f>
        <v>0</v>
      </c>
    </row>
    <row r="104" spans="1:18">
      <c r="A104" s="2" t="s">
        <v>2825</v>
      </c>
      <c r="B104" s="26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7" t="s">
        <v>2185</v>
      </c>
      <c r="G104" t="s">
        <v>1175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6" t="str">
        <f>"item_"&amp;CONTROL[[#This Row],[VEHIDCODE]]</f>
        <v>item_steam_Stephenson_0_4_2_Locomotive_No_1</v>
      </c>
      <c r="P104" s="26" t="str">
        <f>"str_"&amp;CONTROL[[#This Row],[VEHIDCODE]]</f>
        <v>str_steam_Stephenson_0_4_2_Locomotive_No_1</v>
      </c>
      <c r="Q104" s="8" t="b">
        <f>_xlfn.XLOOKUP(CONTROL[[#This Row],[VEHIDCODE]],PROPERTIES[VEHIDCODE],PROPERTIES[IS_CONCEPT])="IS_CONCEPT"</f>
        <v>0</v>
      </c>
      <c r="R104" s="8" t="b">
        <f>_xlfn.XLOOKUP(CONTROL[[#This Row],[VEHIDCODE]],PROPERTIES[VEHIDCODE],PROPERTIES[EXCLUDE])</f>
        <v>0</v>
      </c>
    </row>
    <row r="105" spans="1:18">
      <c r="A105" s="2" t="s">
        <v>2826</v>
      </c>
      <c r="B105" s="26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7" t="s">
        <v>2186</v>
      </c>
      <c r="G105" t="s">
        <v>1176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6" t="str">
        <f>"item_"&amp;CONTROL[[#This Row],[VEHIDCODE]]</f>
        <v>item_steam_Cooke_4_2_2_T__D__Judah</v>
      </c>
      <c r="P105" s="26" t="str">
        <f>"str_"&amp;CONTROL[[#This Row],[VEHIDCODE]]</f>
        <v>str_steam_Cooke_4_2_2_T__D__Judah</v>
      </c>
      <c r="Q105" s="8" t="b">
        <f>_xlfn.XLOOKUP(CONTROL[[#This Row],[VEHIDCODE]],PROPERTIES[VEHIDCODE],PROPERTIES[IS_CONCEPT])="IS_CONCEPT"</f>
        <v>0</v>
      </c>
      <c r="R105" s="8" t="b">
        <f>_xlfn.XLOOKUP(CONTROL[[#This Row],[VEHIDCODE]],PROPERTIES[VEHIDCODE],PROPERTIES[EXCLUDE])</f>
        <v>0</v>
      </c>
    </row>
    <row r="106" spans="1:18">
      <c r="A106" s="2" t="s">
        <v>2827</v>
      </c>
      <c r="B106" s="26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7" t="s">
        <v>2210</v>
      </c>
      <c r="G106" t="s">
        <v>1177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6" t="str">
        <f>"item_"&amp;CONTROL[[#This Row],[VEHIDCODE]]</f>
        <v>item_steam_Beyer__P___Co_2_4_0_SS_9_16__21_78</v>
      </c>
      <c r="P106" s="26" t="str">
        <f>"str_"&amp;CONTROL[[#This Row],[VEHIDCODE]]</f>
        <v>str_steam_Beyer__P___Co_2_4_0_SS_9_16__21_78</v>
      </c>
      <c r="Q106" s="8" t="b">
        <f>_xlfn.XLOOKUP(CONTROL[[#This Row],[VEHIDCODE]],PROPERTIES[VEHIDCODE],PROPERTIES[IS_CONCEPT])="IS_CONCEPT"</f>
        <v>0</v>
      </c>
      <c r="R106" s="8" t="b">
        <f>_xlfn.XLOOKUP(CONTROL[[#This Row],[VEHIDCODE]],PROPERTIES[VEHIDCODE],PROPERTIES[EXCLUDE])</f>
        <v>0</v>
      </c>
    </row>
    <row r="107" spans="1:18">
      <c r="A107" s="2" t="s">
        <v>2828</v>
      </c>
      <c r="B107" s="26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7" t="s">
        <v>2211</v>
      </c>
      <c r="G107" t="s">
        <v>1178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6" t="str">
        <f>"item_"&amp;CONTROL[[#This Row],[VEHIDCODE]]</f>
        <v>item_steam_Beyer__P___Co_2_6_0T_1702_1706</v>
      </c>
      <c r="P107" s="26" t="str">
        <f>"str_"&amp;CONTROL[[#This Row],[VEHIDCODE]]</f>
        <v>str_steam_Beyer__P___Co_2_6_0T_1702_1706</v>
      </c>
      <c r="Q107" s="8" t="b">
        <f>_xlfn.XLOOKUP(CONTROL[[#This Row],[VEHIDCODE]],PROPERTIES[VEHIDCODE],PROPERTIES[IS_CONCEPT])="IS_CONCEPT"</f>
        <v>0</v>
      </c>
      <c r="R107" s="8" t="b">
        <f>_xlfn.XLOOKUP(CONTROL[[#This Row],[VEHIDCODE]],PROPERTIES[VEHIDCODE],PROPERTIES[EXCLUDE])</f>
        <v>0</v>
      </c>
    </row>
    <row r="108" spans="1:18">
      <c r="A108" s="2" t="s">
        <v>2829</v>
      </c>
      <c r="B108" s="26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7" t="s">
        <v>2352</v>
      </c>
      <c r="G108" t="s">
        <v>1179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6" t="str">
        <f>"item_"&amp;CONTROL[[#This Row],[VEHIDCODE]]</f>
        <v>item_steam_Beyer__P___Co_2_6_0_2073_2092</v>
      </c>
      <c r="P108" s="26" t="str">
        <f>"str_"&amp;CONTROL[[#This Row],[VEHIDCODE]]</f>
        <v>str_steam_Beyer__P___Co_2_6_0_2073_2092</v>
      </c>
      <c r="Q108" s="8" t="b">
        <f>_xlfn.XLOOKUP(CONTROL[[#This Row],[VEHIDCODE]],PROPERTIES[VEHIDCODE],PROPERTIES[IS_CONCEPT])="IS_CONCEPT"</f>
        <v>0</v>
      </c>
      <c r="R108" s="8" t="b">
        <f>_xlfn.XLOOKUP(CONTROL[[#This Row],[VEHIDCODE]],PROPERTIES[VEHIDCODE],PROPERTIES[EXCLUDE])</f>
        <v>0</v>
      </c>
    </row>
    <row r="109" spans="1:18">
      <c r="A109" s="2" t="s">
        <v>2830</v>
      </c>
      <c r="B109" s="26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7" t="s">
        <v>392</v>
      </c>
      <c r="G109" t="s">
        <v>1181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6" t="str">
        <f>"item_"&amp;CONTROL[[#This Row],[VEHIDCODE]]</f>
        <v>item_steam_Canadian_Pacific_374</v>
      </c>
      <c r="P109" s="26" t="str">
        <f>"str_"&amp;CONTROL[[#This Row],[VEHIDCODE]]</f>
        <v>str_steam_Canadian_Pacific_374</v>
      </c>
      <c r="Q109" s="8" t="b">
        <f>_xlfn.XLOOKUP(CONTROL[[#This Row],[VEHIDCODE]],PROPERTIES[VEHIDCODE],PROPERTIES[IS_CONCEPT])="IS_CONCEPT"</f>
        <v>0</v>
      </c>
      <c r="R109" s="8" t="b">
        <f>_xlfn.XLOOKUP(CONTROL[[#This Row],[VEHIDCODE]],PROPERTIES[VEHIDCODE],PROPERTIES[EXCLUDE])</f>
        <v>0</v>
      </c>
    </row>
    <row r="110" spans="1:18">
      <c r="A110" s="2" t="s">
        <v>2831</v>
      </c>
      <c r="B110" s="26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7" t="s">
        <v>2187</v>
      </c>
      <c r="G110" t="s">
        <v>1180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6" t="str">
        <f>"item_"&amp;CONTROL[[#This Row],[VEHIDCODE]]</f>
        <v>item_steam_Nasmyth__Wilson___Co_35_tonner_4_6_0T</v>
      </c>
      <c r="P110" s="26" t="str">
        <f>"str_"&amp;CONTROL[[#This Row],[VEHIDCODE]]</f>
        <v>str_steam_Nasmyth__Wilson___Co_35_tonner_4_6_0T</v>
      </c>
      <c r="Q110" s="8" t="b">
        <f>_xlfn.XLOOKUP(CONTROL[[#This Row],[VEHIDCODE]],PROPERTIES[VEHIDCODE],PROPERTIES[IS_CONCEPT])="IS_CONCEPT"</f>
        <v>0</v>
      </c>
      <c r="R110" s="8" t="b">
        <f>_xlfn.XLOOKUP(CONTROL[[#This Row],[VEHIDCODE]],PROPERTIES[VEHIDCODE],PROPERTIES[EXCLUDE])</f>
        <v>0</v>
      </c>
    </row>
    <row r="111" spans="1:18">
      <c r="A111" s="2" t="s">
        <v>2832</v>
      </c>
      <c r="B111" s="26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7" t="s">
        <v>2188</v>
      </c>
      <c r="G111" t="s">
        <v>1182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6" t="str">
        <f>"item_"&amp;CONTROL[[#This Row],[VEHIDCODE]]</f>
        <v>item_steam_Schneider_RENFE_040</v>
      </c>
      <c r="P111" s="26" t="str">
        <f>"str_"&amp;CONTROL[[#This Row],[VEHIDCODE]]</f>
        <v>str_steam_Schneider_RENFE_040</v>
      </c>
      <c r="Q111" s="8" t="b">
        <f>_xlfn.XLOOKUP(CONTROL[[#This Row],[VEHIDCODE]],PROPERTIES[VEHIDCODE],PROPERTIES[IS_CONCEPT])="IS_CONCEPT"</f>
        <v>0</v>
      </c>
      <c r="R111" s="8" t="b">
        <f>_xlfn.XLOOKUP(CONTROL[[#This Row],[VEHIDCODE]],PROPERTIES[VEHIDCODE],PROPERTIES[EXCLUDE])</f>
        <v>0</v>
      </c>
    </row>
    <row r="112" spans="1:18">
      <c r="A112" s="2" t="s">
        <v>2833</v>
      </c>
      <c r="B112" s="26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7" t="s">
        <v>2189</v>
      </c>
      <c r="G112" t="s">
        <v>1183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6" t="str">
        <f>"item_"&amp;CONTROL[[#This Row],[VEHIDCODE]]</f>
        <v>item_steam_Sachsische_Maschinenfabrik_IV_K</v>
      </c>
      <c r="P112" s="26" t="str">
        <f>"str_"&amp;CONTROL[[#This Row],[VEHIDCODE]]</f>
        <v>str_steam_Sachsische_Maschinenfabrik_IV_K</v>
      </c>
      <c r="Q112" s="8" t="b">
        <f>_xlfn.XLOOKUP(CONTROL[[#This Row],[VEHIDCODE]],PROPERTIES[VEHIDCODE],PROPERTIES[IS_CONCEPT])="IS_CONCEPT"</f>
        <v>0</v>
      </c>
      <c r="R112" s="8" t="b">
        <f>_xlfn.XLOOKUP(CONTROL[[#This Row],[VEHIDCODE]],PROPERTIES[VEHIDCODE],PROPERTIES[EXCLUDE])</f>
        <v>0</v>
      </c>
    </row>
    <row r="113" spans="1:18">
      <c r="A113" s="2" t="s">
        <v>2834</v>
      </c>
      <c r="B113" s="26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7" t="s">
        <v>2190</v>
      </c>
      <c r="G113" t="s">
        <v>1184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6" t="str">
        <f>"item_"&amp;CONTROL[[#This Row],[VEHIDCODE]]</f>
        <v>item_steam_Hanomag_S_3</v>
      </c>
      <c r="P113" s="26" t="str">
        <f>"str_"&amp;CONTROL[[#This Row],[VEHIDCODE]]</f>
        <v>str_steam_Hanomag_S_3</v>
      </c>
      <c r="Q113" s="8" t="b">
        <f>_xlfn.XLOOKUP(CONTROL[[#This Row],[VEHIDCODE]],PROPERTIES[VEHIDCODE],PROPERTIES[IS_CONCEPT])="IS_CONCEPT"</f>
        <v>0</v>
      </c>
      <c r="R113" s="8" t="b">
        <f>_xlfn.XLOOKUP(CONTROL[[#This Row],[VEHIDCODE]],PROPERTIES[VEHIDCODE],PROPERTIES[EXCLUDE])</f>
        <v>0</v>
      </c>
    </row>
    <row r="114" spans="1:18">
      <c r="A114" s="2" t="s">
        <v>2835</v>
      </c>
      <c r="B114" s="26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7" t="s">
        <v>2191</v>
      </c>
      <c r="G114" t="s">
        <v>1185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6" t="str">
        <f>"item_"&amp;CONTROL[[#This Row],[VEHIDCODE]]</f>
        <v>item_steam_Thune_XXIa</v>
      </c>
      <c r="P114" s="26" t="str">
        <f>"str_"&amp;CONTROL[[#This Row],[VEHIDCODE]]</f>
        <v>str_steam_Thune_XXIa</v>
      </c>
      <c r="Q114" s="8" t="b">
        <f>_xlfn.XLOOKUP(CONTROL[[#This Row],[VEHIDCODE]],PROPERTIES[VEHIDCODE],PROPERTIES[IS_CONCEPT])="IS_CONCEPT"</f>
        <v>0</v>
      </c>
      <c r="R114" s="8" t="b">
        <f>_xlfn.XLOOKUP(CONTROL[[#This Row],[VEHIDCODE]],PROPERTIES[VEHIDCODE],PROPERTIES[EXCLUDE])</f>
        <v>0</v>
      </c>
    </row>
    <row r="115" spans="1:18">
      <c r="A115" s="2" t="s">
        <v>2836</v>
      </c>
      <c r="B115" s="26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7" t="s">
        <v>393</v>
      </c>
      <c r="G115" t="s">
        <v>1186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6" t="str">
        <f>"item_"&amp;CONTROL[[#This Row],[VEHIDCODE]]</f>
        <v>item_steam_PRR_D16</v>
      </c>
      <c r="P115" s="26" t="str">
        <f>"str_"&amp;CONTROL[[#This Row],[VEHIDCODE]]</f>
        <v>str_steam_PRR_D16</v>
      </c>
      <c r="Q115" s="8" t="b">
        <f>_xlfn.XLOOKUP(CONTROL[[#This Row],[VEHIDCODE]],PROPERTIES[VEHIDCODE],PROPERTIES[IS_CONCEPT])="IS_CONCEPT"</f>
        <v>0</v>
      </c>
      <c r="R115" s="8" t="b">
        <f>_xlfn.XLOOKUP(CONTROL[[#This Row],[VEHIDCODE]],PROPERTIES[VEHIDCODE],PROPERTIES[EXCLUDE])</f>
        <v>0</v>
      </c>
    </row>
    <row r="116" spans="1:18">
      <c r="A116" s="2" t="s">
        <v>2837</v>
      </c>
      <c r="B116" s="26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7" t="s">
        <v>2192</v>
      </c>
      <c r="G116" t="s">
        <v>1187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6" t="str">
        <f>"item_"&amp;CONTROL[[#This Row],[VEHIDCODE]]</f>
        <v>item_steam_Machinefabriek_Breda_661_667</v>
      </c>
      <c r="P116" s="26" t="str">
        <f>"str_"&amp;CONTROL[[#This Row],[VEHIDCODE]]</f>
        <v>str_steam_Machinefabriek_Breda_661_667</v>
      </c>
      <c r="Q116" s="8" t="b">
        <f>_xlfn.XLOOKUP(CONTROL[[#This Row],[VEHIDCODE]],PROPERTIES[VEHIDCODE],PROPERTIES[IS_CONCEPT])="IS_CONCEPT"</f>
        <v>0</v>
      </c>
      <c r="R116" s="8" t="b">
        <f>_xlfn.XLOOKUP(CONTROL[[#This Row],[VEHIDCODE]],PROPERTIES[VEHIDCODE],PROPERTIES[EXCLUDE])</f>
        <v>0</v>
      </c>
    </row>
    <row r="117" spans="1:18">
      <c r="A117" s="2" t="s">
        <v>2838</v>
      </c>
      <c r="B117" s="26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7" t="s">
        <v>2194</v>
      </c>
      <c r="G117" t="s">
        <v>1188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6" t="str">
        <f>"item_"&amp;CONTROL[[#This Row],[VEHIDCODE]]</f>
        <v>item_steam_ALCO_46581_2_6_6_2_Mallet</v>
      </c>
      <c r="P117" s="26" t="str">
        <f>"str_"&amp;CONTROL[[#This Row],[VEHIDCODE]]</f>
        <v>str_steam_ALCO_46581_2_6_6_2_Mallet</v>
      </c>
      <c r="Q117" s="8" t="b">
        <f>_xlfn.XLOOKUP(CONTROL[[#This Row],[VEHIDCODE]],PROPERTIES[VEHIDCODE],PROPERTIES[IS_CONCEPT])="IS_CONCEPT"</f>
        <v>0</v>
      </c>
      <c r="R117" s="8" t="b">
        <f>_xlfn.XLOOKUP(CONTROL[[#This Row],[VEHIDCODE]],PROPERTIES[VEHIDCODE],PROPERTIES[EXCLUDE])</f>
        <v>0</v>
      </c>
    </row>
    <row r="118" spans="1:18">
      <c r="A118" s="2" t="s">
        <v>2839</v>
      </c>
      <c r="B118" s="26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7" t="s">
        <v>2193</v>
      </c>
      <c r="G118" t="s">
        <v>1189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6" t="str">
        <f>"item_"&amp;CONTROL[[#This Row],[VEHIDCODE]]</f>
        <v>item_steam_Orenstein___Koppel_2_8_0_8_Tender</v>
      </c>
      <c r="P118" s="26" t="str">
        <f>"str_"&amp;CONTROL[[#This Row],[VEHIDCODE]]</f>
        <v>str_steam_Orenstein___Koppel_2_8_0_8_Tender</v>
      </c>
      <c r="Q118" s="8" t="b">
        <f>_xlfn.XLOOKUP(CONTROL[[#This Row],[VEHIDCODE]],PROPERTIES[VEHIDCODE],PROPERTIES[IS_CONCEPT])="IS_CONCEPT"</f>
        <v>0</v>
      </c>
      <c r="R118" s="8" t="b">
        <f>_xlfn.XLOOKUP(CONTROL[[#This Row],[VEHIDCODE]],PROPERTIES[VEHIDCODE],PROPERTIES[EXCLUDE])</f>
        <v>0</v>
      </c>
    </row>
    <row r="119" spans="1:18">
      <c r="A119" s="2" t="s">
        <v>2840</v>
      </c>
      <c r="B119" s="26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7" t="s">
        <v>2195</v>
      </c>
      <c r="G119" t="s">
        <v>1190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6" t="str">
        <f>"item_"&amp;CONTROL[[#This Row],[VEHIDCODE]]</f>
        <v>item_steam_Stratford_Works_L77_LNER_N7</v>
      </c>
      <c r="P119" s="26" t="str">
        <f>"str_"&amp;CONTROL[[#This Row],[VEHIDCODE]]</f>
        <v>str_steam_Stratford_Works_L77_LNER_N7</v>
      </c>
      <c r="Q119" s="8" t="b">
        <f>_xlfn.XLOOKUP(CONTROL[[#This Row],[VEHIDCODE]],PROPERTIES[VEHIDCODE],PROPERTIES[IS_CONCEPT])="IS_CONCEPT"</f>
        <v>0</v>
      </c>
      <c r="R119" s="8" t="b">
        <f>_xlfn.XLOOKUP(CONTROL[[#This Row],[VEHIDCODE]],PROPERTIES[VEHIDCODE],PROPERTIES[EXCLUDE])</f>
        <v>0</v>
      </c>
    </row>
    <row r="120" spans="1:18">
      <c r="A120" s="2" t="s">
        <v>2841</v>
      </c>
      <c r="B120" s="26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7" t="s">
        <v>2209</v>
      </c>
      <c r="G120" t="s">
        <v>1191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6" t="str">
        <f>"item_"&amp;CONTROL[[#This Row],[VEHIDCODE]]</f>
        <v>item_steam_Sachsische_Maschinenfabrik_XX_HV</v>
      </c>
      <c r="P120" s="26" t="str">
        <f>"str_"&amp;CONTROL[[#This Row],[VEHIDCODE]]</f>
        <v>str_steam_Sachsische_Maschinenfabrik_XX_HV</v>
      </c>
      <c r="Q120" s="8" t="b">
        <f>_xlfn.XLOOKUP(CONTROL[[#This Row],[VEHIDCODE]],PROPERTIES[VEHIDCODE],PROPERTIES[IS_CONCEPT])="IS_CONCEPT"</f>
        <v>0</v>
      </c>
      <c r="R120" s="8" t="b">
        <f>_xlfn.XLOOKUP(CONTROL[[#This Row],[VEHIDCODE]],PROPERTIES[VEHIDCODE],PROPERTIES[EXCLUDE])</f>
        <v>0</v>
      </c>
    </row>
    <row r="121" spans="1:18">
      <c r="A121" s="2" t="s">
        <v>2842</v>
      </c>
      <c r="B121" s="26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7" t="s">
        <v>2212</v>
      </c>
      <c r="G121" t="s">
        <v>1192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6" t="str">
        <f>"item_"&amp;CONTROL[[#This Row],[VEHIDCODE]]</f>
        <v>item_steam_Beyer__P___Co_2_4_0_SS_9_16</v>
      </c>
      <c r="P121" s="26" t="str">
        <f>"str_"&amp;CONTROL[[#This Row],[VEHIDCODE]]</f>
        <v>str_steam_Beyer__P___Co_2_4_0_SS_9_16</v>
      </c>
      <c r="Q121" s="8" t="b">
        <f>_xlfn.XLOOKUP(CONTROL[[#This Row],[VEHIDCODE]],PROPERTIES[VEHIDCODE],PROPERTIES[IS_CONCEPT])="IS_CONCEPT"</f>
        <v>0</v>
      </c>
      <c r="R121" s="8" t="b">
        <f>_xlfn.XLOOKUP(CONTROL[[#This Row],[VEHIDCODE]],PROPERTIES[VEHIDCODE],PROPERTIES[EXCLUDE])</f>
        <v>0</v>
      </c>
    </row>
    <row r="122" spans="1:18">
      <c r="A122" s="2" t="s">
        <v>2843</v>
      </c>
      <c r="B122" s="26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7" t="s">
        <v>2353</v>
      </c>
      <c r="G122" t="s">
        <v>1193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6" t="str">
        <f>"item_"&amp;CONTROL[[#This Row],[VEHIDCODE]]</f>
        <v>item_steam_Beyer__P___Co_2_6_0_6112_6113</v>
      </c>
      <c r="P122" s="26" t="str">
        <f>"str_"&amp;CONTROL[[#This Row],[VEHIDCODE]]</f>
        <v>str_steam_Beyer__P___Co_2_6_0_6112_6113</v>
      </c>
      <c r="Q122" s="8" t="b">
        <f>_xlfn.XLOOKUP(CONTROL[[#This Row],[VEHIDCODE]],PROPERTIES[VEHIDCODE],PROPERTIES[IS_CONCEPT])="IS_CONCEPT"</f>
        <v>0</v>
      </c>
      <c r="R122" s="8" t="b">
        <f>_xlfn.XLOOKUP(CONTROL[[#This Row],[VEHIDCODE]],PROPERTIES[VEHIDCODE],PROPERTIES[EXCLUDE])</f>
        <v>0</v>
      </c>
    </row>
    <row r="123" spans="1:18">
      <c r="A123" s="2" t="s">
        <v>2844</v>
      </c>
      <c r="B123" s="26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7" t="s">
        <v>2196</v>
      </c>
      <c r="G123" t="s">
        <v>1194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6" t="str">
        <f>"item_"&amp;CONTROL[[#This Row],[VEHIDCODE]]</f>
        <v>item_steam_Baldwin_10_32_E_55246</v>
      </c>
      <c r="P123" s="26" t="str">
        <f>"str_"&amp;CONTROL[[#This Row],[VEHIDCODE]]</f>
        <v>str_steam_Baldwin_10_32_E_55246</v>
      </c>
      <c r="Q123" s="8" t="b">
        <f>_xlfn.XLOOKUP(CONTROL[[#This Row],[VEHIDCODE]],PROPERTIES[VEHIDCODE],PROPERTIES[IS_CONCEPT])="IS_CONCEPT"</f>
        <v>0</v>
      </c>
      <c r="R123" s="8" t="b">
        <f>_xlfn.XLOOKUP(CONTROL[[#This Row],[VEHIDCODE]],PROPERTIES[VEHIDCODE],PROPERTIES[EXCLUDE])</f>
        <v>0</v>
      </c>
    </row>
    <row r="124" spans="1:18">
      <c r="A124" s="2" t="s">
        <v>3537</v>
      </c>
      <c r="B124" s="26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7" t="s">
        <v>3544</v>
      </c>
      <c r="G124" t="s">
        <v>1195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6" t="str">
        <f>"item_"&amp;CONTROL[[#This Row],[VEHIDCODE]]</f>
        <v>item_steam_Canadian_National_U_1_a_</v>
      </c>
      <c r="P124" s="26" t="str">
        <f>"str_"&amp;CONTROL[[#This Row],[VEHIDCODE]]</f>
        <v>str_steam_Canadian_National_U_1_a_</v>
      </c>
      <c r="Q124" s="8" t="b">
        <f>_xlfn.XLOOKUP(CONTROL[[#This Row],[VEHIDCODE]],PROPERTIES[VEHIDCODE],PROPERTIES[IS_CONCEPT])="IS_CONCEPT"</f>
        <v>0</v>
      </c>
      <c r="R124" s="8" t="b">
        <f>_xlfn.XLOOKUP(CONTROL[[#This Row],[VEHIDCODE]],PROPERTIES[VEHIDCODE],PROPERTIES[EXCLUDE])</f>
        <v>0</v>
      </c>
    </row>
    <row r="125" spans="1:18">
      <c r="A125" s="2" t="s">
        <v>2845</v>
      </c>
      <c r="B125" s="26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7" t="s">
        <v>2197</v>
      </c>
      <c r="G125" t="s">
        <v>1196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6" t="str">
        <f>"item_"&amp;CONTROL[[#This Row],[VEHIDCODE]]</f>
        <v>item_steam_Vulcan_Foundry_2_6_4_Class_XB</v>
      </c>
      <c r="P125" s="26" t="str">
        <f>"str_"&amp;CONTROL[[#This Row],[VEHIDCODE]]</f>
        <v>str_steam_Vulcan_Foundry_2_6_4_Class_XB</v>
      </c>
      <c r="Q125" s="8" t="b">
        <f>_xlfn.XLOOKUP(CONTROL[[#This Row],[VEHIDCODE]],PROPERTIES[VEHIDCODE],PROPERTIES[IS_CONCEPT])="IS_CONCEPT"</f>
        <v>0</v>
      </c>
      <c r="R125" s="8" t="b">
        <f>_xlfn.XLOOKUP(CONTROL[[#This Row],[VEHIDCODE]],PROPERTIES[VEHIDCODE],PROPERTIES[EXCLUDE])</f>
        <v>0</v>
      </c>
    </row>
    <row r="126" spans="1:18">
      <c r="A126" s="2" t="s">
        <v>2846</v>
      </c>
      <c r="B126" s="26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7" t="s">
        <v>2354</v>
      </c>
      <c r="G126" t="s">
        <v>1197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6" t="str">
        <f>"item_"&amp;CONTROL[[#This Row],[VEHIDCODE]]</f>
        <v>item_steam_Robert_Stephenson_4_6_2_6982_6985</v>
      </c>
      <c r="P126" s="26" t="str">
        <f>"str_"&amp;CONTROL[[#This Row],[VEHIDCODE]]</f>
        <v>str_steam_Robert_Stephenson_4_6_2_6982_6985</v>
      </c>
      <c r="Q126" s="8" t="b">
        <f>_xlfn.XLOOKUP(CONTROL[[#This Row],[VEHIDCODE]],PROPERTIES[VEHIDCODE],PROPERTIES[IS_CONCEPT])="IS_CONCEPT"</f>
        <v>0</v>
      </c>
      <c r="R126" s="8" t="b">
        <f>_xlfn.XLOOKUP(CONTROL[[#This Row],[VEHIDCODE]],PROPERTIES[VEHIDCODE],PROPERTIES[EXCLUDE])</f>
        <v>0</v>
      </c>
    </row>
    <row r="127" spans="1:18">
      <c r="A127" s="2" t="s">
        <v>2847</v>
      </c>
      <c r="B127" s="26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7" t="s">
        <v>3612</v>
      </c>
      <c r="G127" t="s">
        <v>3611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6" t="str">
        <f>"item_"&amp;CONTROL[[#This Row],[VEHIDCODE]]</f>
        <v>item_steam_ENR_1100__LMS_Fowler_3F___WD_0_6_0T_</v>
      </c>
      <c r="P127" s="26" t="str">
        <f>"str_"&amp;CONTROL[[#This Row],[VEHIDCODE]]</f>
        <v>str_steam_ENR_1100__LMS_Fowler_3F___WD_0_6_0T_</v>
      </c>
      <c r="Q127" s="8" t="b">
        <f>_xlfn.XLOOKUP(CONTROL[[#This Row],[VEHIDCODE]],PROPERTIES[VEHIDCODE],PROPERTIES[IS_CONCEPT])="IS_CONCEPT"</f>
        <v>0</v>
      </c>
      <c r="R127" s="8" t="b">
        <f>_xlfn.XLOOKUP(CONTROL[[#This Row],[VEHIDCODE]],PROPERTIES[VEHIDCODE],PROPERTIES[EXCLUDE])</f>
        <v>0</v>
      </c>
    </row>
    <row r="128" spans="1:18">
      <c r="A128" s="2" t="s">
        <v>2848</v>
      </c>
      <c r="B128" s="26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7" t="s">
        <v>2198</v>
      </c>
      <c r="G128" t="s">
        <v>1198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6" t="str">
        <f>"item_"&amp;CONTROL[[#This Row],[VEHIDCODE]]</f>
        <v>item_steam_Swindon_Works_381</v>
      </c>
      <c r="P128" s="26" t="str">
        <f>"str_"&amp;CONTROL[[#This Row],[VEHIDCODE]]</f>
        <v>str_steam_Swindon_Works_381</v>
      </c>
      <c r="Q128" s="8" t="b">
        <f>_xlfn.XLOOKUP(CONTROL[[#This Row],[VEHIDCODE]],PROPERTIES[VEHIDCODE],PROPERTIES[IS_CONCEPT])="IS_CONCEPT"</f>
        <v>0</v>
      </c>
      <c r="R128" s="8" t="b">
        <f>_xlfn.XLOOKUP(CONTROL[[#This Row],[VEHIDCODE]],PROPERTIES[VEHIDCODE],PROPERTIES[EXCLUDE])</f>
        <v>0</v>
      </c>
    </row>
    <row r="129" spans="1:18">
      <c r="A129" s="2" t="s">
        <v>2849</v>
      </c>
      <c r="B129" s="26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7" t="s">
        <v>2199</v>
      </c>
      <c r="G129" t="s">
        <v>1199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6" t="str">
        <f>"item_"&amp;CONTROL[[#This Row],[VEHIDCODE]]</f>
        <v>item_steam_North_British_LC_R_4_6_4_Hudson</v>
      </c>
      <c r="P129" s="26" t="str">
        <f>"str_"&amp;CONTROL[[#This Row],[VEHIDCODE]]</f>
        <v>str_steam_North_British_LC_R_4_6_4_Hudson</v>
      </c>
      <c r="Q129" s="8" t="b">
        <f>_xlfn.XLOOKUP(CONTROL[[#This Row],[VEHIDCODE]],PROPERTIES[VEHIDCODE],PROPERTIES[IS_CONCEPT])="IS_CONCEPT"</f>
        <v>0</v>
      </c>
      <c r="R129" s="8" t="b">
        <f>_xlfn.XLOOKUP(CONTROL[[#This Row],[VEHIDCODE]],PROPERTIES[VEHIDCODE],PROPERTIES[EXCLUDE])</f>
        <v>0</v>
      </c>
    </row>
    <row r="130" spans="1:18">
      <c r="A130" s="2" t="s">
        <v>2850</v>
      </c>
      <c r="B130" s="26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7" t="s">
        <v>2200</v>
      </c>
      <c r="G130" t="s">
        <v>1200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6" t="str">
        <f>"item_"&amp;CONTROL[[#This Row],[VEHIDCODE]]</f>
        <v>item_steam_VEB_2_10_2T_99_77_79</v>
      </c>
      <c r="P130" s="26" t="str">
        <f>"str_"&amp;CONTROL[[#This Row],[VEHIDCODE]]</f>
        <v>str_steam_VEB_2_10_2T_99_77_79</v>
      </c>
      <c r="Q130" s="8" t="b">
        <f>_xlfn.XLOOKUP(CONTROL[[#This Row],[VEHIDCODE]],PROPERTIES[VEHIDCODE],PROPERTIES[IS_CONCEPT])="IS_CONCEPT"</f>
        <v>0</v>
      </c>
      <c r="R130" s="8" t="b">
        <f>_xlfn.XLOOKUP(CONTROL[[#This Row],[VEHIDCODE]],PROPERTIES[VEHIDCODE],PROPERTIES[EXCLUDE])</f>
        <v>0</v>
      </c>
    </row>
    <row r="131" spans="1:18">
      <c r="A131" s="2" t="s">
        <v>2851</v>
      </c>
      <c r="B131" s="26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7" t="s">
        <v>2201</v>
      </c>
      <c r="G131" t="s">
        <v>1699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6" t="str">
        <f>"item_"&amp;CONTROL[[#This Row],[VEHIDCODE]]</f>
        <v>item_steam_RAW_Meiningen_4_6_2_89_</v>
      </c>
      <c r="P131" s="26" t="str">
        <f>"str_"&amp;CONTROL[[#This Row],[VEHIDCODE]]</f>
        <v>str_steam_RAW_Meiningen_4_6_2_89_</v>
      </c>
      <c r="Q131" s="8" t="b">
        <f>_xlfn.XLOOKUP(CONTROL[[#This Row],[VEHIDCODE]],PROPERTIES[VEHIDCODE],PROPERTIES[IS_CONCEPT])="IS_CONCEPT"</f>
        <v>0</v>
      </c>
      <c r="R131" s="8" t="b">
        <f>_xlfn.XLOOKUP(CONTROL[[#This Row],[VEHIDCODE]],PROPERTIES[VEHIDCODE],PROPERTIES[EXCLUDE])</f>
        <v>0</v>
      </c>
    </row>
    <row r="132" spans="1:18">
      <c r="A132" s="2" t="s">
        <v>2852</v>
      </c>
      <c r="B132" s="26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7" t="s">
        <v>2202</v>
      </c>
      <c r="G132" t="s">
        <v>1201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6" t="str">
        <f>"item_"&amp;CONTROL[[#This Row],[VEHIDCODE]]</f>
        <v>item_steam_NZR_4_6_4T_WAB</v>
      </c>
      <c r="P132" s="26" t="str">
        <f>"str_"&amp;CONTROL[[#This Row],[VEHIDCODE]]</f>
        <v>str_steam_NZR_4_6_4T_WAB</v>
      </c>
      <c r="Q132" s="8" t="b">
        <f>_xlfn.XLOOKUP(CONTROL[[#This Row],[VEHIDCODE]],PROPERTIES[VEHIDCODE],PROPERTIES[IS_CONCEPT])="IS_CONCEPT"</f>
        <v>0</v>
      </c>
      <c r="R132" s="8" t="b">
        <f>_xlfn.XLOOKUP(CONTROL[[#This Row],[VEHIDCODE]],PROPERTIES[VEHIDCODE],PROPERTIES[EXCLUDE])</f>
        <v>0</v>
      </c>
    </row>
    <row r="133" spans="1:18">
      <c r="A133" s="2" t="s">
        <v>2853</v>
      </c>
      <c r="B133" s="26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7" t="s">
        <v>2203</v>
      </c>
      <c r="G133" t="s">
        <v>1202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6" t="str">
        <f>"item_"&amp;CONTROL[[#This Row],[VEHIDCODE]]</f>
        <v>item_steam_Clyde_4_8_2_D57</v>
      </c>
      <c r="P133" s="26" t="str">
        <f>"str_"&amp;CONTROL[[#This Row],[VEHIDCODE]]</f>
        <v>str_steam_Clyde_4_8_2_D57</v>
      </c>
      <c r="Q133" s="8" t="b">
        <f>_xlfn.XLOOKUP(CONTROL[[#This Row],[VEHIDCODE]],PROPERTIES[VEHIDCODE],PROPERTIES[IS_CONCEPT])="IS_CONCEPT"</f>
        <v>0</v>
      </c>
      <c r="R133" s="8" t="b">
        <f>_xlfn.XLOOKUP(CONTROL[[#This Row],[VEHIDCODE]],PROPERTIES[VEHIDCODE],PROPERTIES[EXCLUDE])</f>
        <v>0</v>
      </c>
    </row>
    <row r="134" spans="1:18">
      <c r="A134" s="2" t="s">
        <v>2854</v>
      </c>
      <c r="B134" s="26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7" t="s">
        <v>2204</v>
      </c>
      <c r="G134" t="s">
        <v>1203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6" t="str">
        <f>"item_"&amp;CONTROL[[#This Row],[VEHIDCODE]]</f>
        <v>item_steam_Islington_Railway_Workshops_81_92_520</v>
      </c>
      <c r="P134" s="26" t="str">
        <f>"str_"&amp;CONTROL[[#This Row],[VEHIDCODE]]</f>
        <v>str_steam_Islington_Railway_Workshops_81_92_520</v>
      </c>
      <c r="Q134" s="8" t="b">
        <f>_xlfn.XLOOKUP(CONTROL[[#This Row],[VEHIDCODE]],PROPERTIES[VEHIDCODE],PROPERTIES[IS_CONCEPT])="IS_CONCEPT"</f>
        <v>0</v>
      </c>
      <c r="R134" s="8" t="b">
        <f>_xlfn.XLOOKUP(CONTROL[[#This Row],[VEHIDCODE]],PROPERTIES[VEHIDCODE],PROPERTIES[EXCLUDE])</f>
        <v>0</v>
      </c>
    </row>
    <row r="135" spans="1:18">
      <c r="A135" s="2" t="s">
        <v>2855</v>
      </c>
      <c r="B135" s="26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7" t="s">
        <v>2355</v>
      </c>
      <c r="G135" t="s">
        <v>1204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6" t="str">
        <f>"item_"&amp;CONTROL[[#This Row],[VEHIDCODE]]</f>
        <v>item_steam_Beyer__P___Co_4_8_4_4_8_4_7473_7497</v>
      </c>
      <c r="P135" s="26" t="str">
        <f>"str_"&amp;CONTROL[[#This Row],[VEHIDCODE]]</f>
        <v>str_steam_Beyer__P___Co_4_8_4_4_8_4_7473_7497</v>
      </c>
      <c r="Q135" s="8" t="b">
        <f>_xlfn.XLOOKUP(CONTROL[[#This Row],[VEHIDCODE]],PROPERTIES[VEHIDCODE],PROPERTIES[IS_CONCEPT])="IS_CONCEPT"</f>
        <v>0</v>
      </c>
      <c r="R135" s="8" t="b">
        <f>_xlfn.XLOOKUP(CONTROL[[#This Row],[VEHIDCODE]],PROPERTIES[VEHIDCODE],PROPERTIES[EXCLUDE])</f>
        <v>0</v>
      </c>
    </row>
    <row r="136" spans="1:18">
      <c r="A136" s="2" t="s">
        <v>2856</v>
      </c>
      <c r="B136" s="26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7" t="s">
        <v>394</v>
      </c>
      <c r="G136" t="s">
        <v>1205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6" t="str">
        <f>"item_"&amp;CONTROL[[#This Row],[VEHIDCODE]]</f>
        <v>item_steam_AFE_N1_2_6_0</v>
      </c>
      <c r="P136" s="26" t="str">
        <f>"str_"&amp;CONTROL[[#This Row],[VEHIDCODE]]</f>
        <v>str_steam_AFE_N1_2_6_0</v>
      </c>
      <c r="Q136" s="8" t="b">
        <f>_xlfn.XLOOKUP(CONTROL[[#This Row],[VEHIDCODE]],PROPERTIES[VEHIDCODE],PROPERTIES[IS_CONCEPT])="IS_CONCEPT"</f>
        <v>0</v>
      </c>
      <c r="R136" s="8" t="b">
        <f>_xlfn.XLOOKUP(CONTROL[[#This Row],[VEHIDCODE]],PROPERTIES[VEHIDCODE],PROPERTIES[EXCLUDE])</f>
        <v>0</v>
      </c>
    </row>
    <row r="137" spans="1:18">
      <c r="A137" s="2" t="s">
        <v>2857</v>
      </c>
      <c r="B137" s="26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7" t="s">
        <v>2205</v>
      </c>
      <c r="G137" t="s">
        <v>1207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6" t="str">
        <f>"item_"&amp;CONTROL[[#This Row],[VEHIDCODE]]</f>
        <v>item_steam_Sir_Armstrong_Whithworth___Co__PS11</v>
      </c>
      <c r="P137" s="26" t="str">
        <f>"str_"&amp;CONTROL[[#This Row],[VEHIDCODE]]</f>
        <v>str_steam_Sir_Armstrong_Whithworth___Co__PS11</v>
      </c>
      <c r="Q137" s="8" t="b">
        <f>_xlfn.XLOOKUP(CONTROL[[#This Row],[VEHIDCODE]],PROPERTIES[VEHIDCODE],PROPERTIES[IS_CONCEPT])="IS_CONCEPT"</f>
        <v>0</v>
      </c>
      <c r="R137" s="8" t="b">
        <f>_xlfn.XLOOKUP(CONTROL[[#This Row],[VEHIDCODE]],PROPERTIES[VEHIDCODE],PROPERTIES[EXCLUDE])</f>
        <v>0</v>
      </c>
    </row>
    <row r="138" spans="1:18">
      <c r="A138" s="2" t="s">
        <v>2858</v>
      </c>
      <c r="B138" s="26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7" t="s">
        <v>2206</v>
      </c>
      <c r="G138" t="s">
        <v>1857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6" t="str">
        <f>"item_"&amp;CONTROL[[#This Row],[VEHIDCODE]]</f>
        <v>item_steam_Alexander_Chaplin___Co__1584_0_4_0VB</v>
      </c>
      <c r="P138" s="26" t="str">
        <f>"str_"&amp;CONTROL[[#This Row],[VEHIDCODE]]</f>
        <v>str_steam_Alexander_Chaplin___Co__1584_0_4_0VB</v>
      </c>
      <c r="Q138" s="8" t="b">
        <f>_xlfn.XLOOKUP(CONTROL[[#This Row],[VEHIDCODE]],PROPERTIES[VEHIDCODE],PROPERTIES[IS_CONCEPT])="IS_CONCEPT"</f>
        <v>0</v>
      </c>
      <c r="R138" s="8" t="b">
        <f>_xlfn.XLOOKUP(CONTROL[[#This Row],[VEHIDCODE]],PROPERTIES[VEHIDCODE],PROPERTIES[EXCLUDE])</f>
        <v>0</v>
      </c>
    </row>
    <row r="139" spans="1:18">
      <c r="A139" s="2" t="s">
        <v>2859</v>
      </c>
      <c r="B139" s="26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7" t="s">
        <v>2207</v>
      </c>
      <c r="G139" t="s">
        <v>1208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6" t="str">
        <f>"item_"&amp;CONTROL[[#This Row],[VEHIDCODE]]</f>
        <v>item_steam_Falcon_Engine_and_Car_Works_F2</v>
      </c>
      <c r="P139" s="26" t="str">
        <f>"str_"&amp;CONTROL[[#This Row],[VEHIDCODE]]</f>
        <v>str_steam_Falcon_Engine_and_Car_Works_F2</v>
      </c>
      <c r="Q139" s="8" t="b">
        <f>_xlfn.XLOOKUP(CONTROL[[#This Row],[VEHIDCODE]],PROPERTIES[VEHIDCODE],PROPERTIES[IS_CONCEPT])="IS_CONCEPT"</f>
        <v>0</v>
      </c>
      <c r="R139" s="8" t="b">
        <f>_xlfn.XLOOKUP(CONTROL[[#This Row],[VEHIDCODE]],PROPERTIES[VEHIDCODE],PROPERTIES[EXCLUDE])</f>
        <v>0</v>
      </c>
    </row>
    <row r="140" spans="1:18">
      <c r="A140" s="2" t="s">
        <v>2860</v>
      </c>
      <c r="B140" s="26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7" t="s">
        <v>2208</v>
      </c>
      <c r="G140" t="s">
        <v>1209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6" t="str">
        <f>"item_"&amp;CONTROL[[#This Row],[VEHIDCODE]]</f>
        <v>item_steam_Ansaldo_R_440_Mallet</v>
      </c>
      <c r="P140" s="26" t="str">
        <f>"str_"&amp;CONTROL[[#This Row],[VEHIDCODE]]</f>
        <v>str_steam_Ansaldo_R_440_Mallet</v>
      </c>
      <c r="Q140" s="8" t="b">
        <f>_xlfn.XLOOKUP(CONTROL[[#This Row],[VEHIDCODE]],PROPERTIES[VEHIDCODE],PROPERTIES[IS_CONCEPT])="IS_CONCEPT"</f>
        <v>0</v>
      </c>
      <c r="R140" s="8" t="b">
        <f>_xlfn.XLOOKUP(CONTROL[[#This Row],[VEHIDCODE]],PROPERTIES[VEHIDCODE],PROPERTIES[EXCLUDE])</f>
        <v>0</v>
      </c>
    </row>
    <row r="141" spans="1:18">
      <c r="A141" s="2" t="s">
        <v>2861</v>
      </c>
      <c r="B141" s="26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7" t="s">
        <v>2356</v>
      </c>
      <c r="G141" t="s">
        <v>1210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6" t="str">
        <f>"item_"&amp;CONTROL[[#This Row],[VEHIDCODE]]</f>
        <v>item_steam_Beyer__P___Co__4_8_0_6128_6133</v>
      </c>
      <c r="P141" s="26" t="str">
        <f>"str_"&amp;CONTROL[[#This Row],[VEHIDCODE]]</f>
        <v>str_steam_Beyer__P___Co__4_8_0_6128_6133</v>
      </c>
      <c r="Q141" s="8" t="b">
        <f>_xlfn.XLOOKUP(CONTROL[[#This Row],[VEHIDCODE]],PROPERTIES[VEHIDCODE],PROPERTIES[IS_CONCEPT])="IS_CONCEPT"</f>
        <v>0</v>
      </c>
      <c r="R141" s="8" t="b">
        <f>_xlfn.XLOOKUP(CONTROL[[#This Row],[VEHIDCODE]],PROPERTIES[VEHIDCODE],PROPERTIES[EXCLUDE])</f>
        <v>0</v>
      </c>
    </row>
    <row r="142" spans="1:18">
      <c r="A142" s="2" t="s">
        <v>2862</v>
      </c>
      <c r="B142" s="26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7" t="s">
        <v>2357</v>
      </c>
      <c r="G142" t="s">
        <v>1211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6" t="str">
        <f>"item_"&amp;CONTROL[[#This Row],[VEHIDCODE]]</f>
        <v>item_steam_Vulcan_Foundry_4_8_2_4318_4320</v>
      </c>
      <c r="P142" s="26" t="str">
        <f>"str_"&amp;CONTROL[[#This Row],[VEHIDCODE]]</f>
        <v>str_steam_Vulcan_Foundry_4_8_2_4318_4320</v>
      </c>
      <c r="Q142" s="8" t="b">
        <f>_xlfn.XLOOKUP(CONTROL[[#This Row],[VEHIDCODE]],PROPERTIES[VEHIDCODE],PROPERTIES[IS_CONCEPT])="IS_CONCEPT"</f>
        <v>0</v>
      </c>
      <c r="R142" s="8" t="b">
        <f>_xlfn.XLOOKUP(CONTROL[[#This Row],[VEHIDCODE]],PROPERTIES[VEHIDCODE],PROPERTIES[EXCLUDE])</f>
        <v>0</v>
      </c>
    </row>
    <row r="143" spans="1:18">
      <c r="A143" s="2" t="s">
        <v>2863</v>
      </c>
      <c r="B143" s="26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7" t="s">
        <v>2213</v>
      </c>
      <c r="G143" t="s">
        <v>1212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6" t="str">
        <f>"item_"&amp;CONTROL[[#This Row],[VEHIDCODE]]</f>
        <v>item_steam_Beyer__P___Co__4_6_4_4_6_4_15th</v>
      </c>
      <c r="P143" s="26" t="str">
        <f>"str_"&amp;CONTROL[[#This Row],[VEHIDCODE]]</f>
        <v>str_steam_Beyer__P___Co__4_6_4_4_6_4_15th</v>
      </c>
      <c r="Q143" s="8" t="b">
        <f>_xlfn.XLOOKUP(CONTROL[[#This Row],[VEHIDCODE]],PROPERTIES[VEHIDCODE],PROPERTIES[IS_CONCEPT])="IS_CONCEPT"</f>
        <v>0</v>
      </c>
      <c r="R143" s="8" t="b">
        <f>_xlfn.XLOOKUP(CONTROL[[#This Row],[VEHIDCODE]],PROPERTIES[VEHIDCODE],PROPERTIES[EXCLUDE])</f>
        <v>0</v>
      </c>
    </row>
    <row r="144" spans="1:18">
      <c r="A144" s="2" t="s">
        <v>2864</v>
      </c>
      <c r="B144" s="26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7" t="s">
        <v>2214</v>
      </c>
      <c r="G144" t="s">
        <v>1213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6" t="str">
        <f>"item_"&amp;CONTROL[[#This Row],[VEHIDCODE]]</f>
        <v>item_steam_Beyer__P___Co__4_8_2_2_8_4_7550_7552</v>
      </c>
      <c r="P144" s="26" t="str">
        <f>"str_"&amp;CONTROL[[#This Row],[VEHIDCODE]]</f>
        <v>str_steam_Beyer__P___Co__4_8_2_2_8_4_7550_7552</v>
      </c>
      <c r="Q144" s="8" t="b">
        <f>_xlfn.XLOOKUP(CONTROL[[#This Row],[VEHIDCODE]],PROPERTIES[VEHIDCODE],PROPERTIES[IS_CONCEPT])="IS_CONCEPT"</f>
        <v>0</v>
      </c>
      <c r="R144" s="8" t="b">
        <f>_xlfn.XLOOKUP(CONTROL[[#This Row],[VEHIDCODE]],PROPERTIES[VEHIDCODE],PROPERTIES[EXCLUDE])</f>
        <v>0</v>
      </c>
    </row>
    <row r="145" spans="1:18">
      <c r="A145" s="2" t="s">
        <v>2865</v>
      </c>
      <c r="B145" s="26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7" t="s">
        <v>2215</v>
      </c>
      <c r="G145" t="s">
        <v>1214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6" t="str">
        <f>"item_"&amp;CONTROL[[#This Row],[VEHIDCODE]]</f>
        <v>item_steam_Vulcan_Foundry_2_8_4_6228</v>
      </c>
      <c r="P145" s="26" t="str">
        <f>"str_"&amp;CONTROL[[#This Row],[VEHIDCODE]]</f>
        <v>str_steam_Vulcan_Foundry_2_8_4_6228</v>
      </c>
      <c r="Q145" s="8" t="b">
        <f>_xlfn.XLOOKUP(CONTROL[[#This Row],[VEHIDCODE]],PROPERTIES[VEHIDCODE],PROPERTIES[IS_CONCEPT])="IS_CONCEPT"</f>
        <v>0</v>
      </c>
      <c r="R145" s="8" t="b">
        <f>_xlfn.XLOOKUP(CONTROL[[#This Row],[VEHIDCODE]],PROPERTIES[VEHIDCODE],PROPERTIES[EXCLUDE])</f>
        <v>0</v>
      </c>
    </row>
    <row r="146" spans="1:18">
      <c r="A146" s="2" t="s">
        <v>2866</v>
      </c>
      <c r="B146" s="26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7" t="s">
        <v>2216</v>
      </c>
      <c r="G146" t="s">
        <v>1215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6" t="str">
        <f>"item_"&amp;CONTROL[[#This Row],[VEHIDCODE]]</f>
        <v>item_steam_Kitson_2_2_2WT_481_Fairy_Queen</v>
      </c>
      <c r="P146" s="26" t="str">
        <f>"str_"&amp;CONTROL[[#This Row],[VEHIDCODE]]</f>
        <v>str_steam_Kitson_2_2_2WT_481_Fairy_Queen</v>
      </c>
      <c r="Q146" s="8" t="b">
        <f>_xlfn.XLOOKUP(CONTROL[[#This Row],[VEHIDCODE]],PROPERTIES[VEHIDCODE],PROPERTIES[IS_CONCEPT])="IS_CONCEPT"</f>
        <v>0</v>
      </c>
      <c r="R146" s="8" t="b">
        <f>_xlfn.XLOOKUP(CONTROL[[#This Row],[VEHIDCODE]],PROPERTIES[VEHIDCODE],PROPERTIES[EXCLUDE])</f>
        <v>0</v>
      </c>
    </row>
    <row r="147" spans="1:18">
      <c r="A147" s="2" t="s">
        <v>2867</v>
      </c>
      <c r="B147" s="26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7" t="s">
        <v>2217</v>
      </c>
      <c r="G147" t="s">
        <v>1216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6" t="str">
        <f>"item_"&amp;CONTROL[[#This Row],[VEHIDCODE]]</f>
        <v>item_steam_Sharp__Stewart___Co_0_4_0ST_DHR_B</v>
      </c>
      <c r="P147" s="26" t="str">
        <f>"str_"&amp;CONTROL[[#This Row],[VEHIDCODE]]</f>
        <v>str_steam_Sharp__Stewart___Co_0_4_0ST_DHR_B</v>
      </c>
      <c r="Q147" s="8" t="b">
        <f>_xlfn.XLOOKUP(CONTROL[[#This Row],[VEHIDCODE]],PROPERTIES[VEHIDCODE],PROPERTIES[IS_CONCEPT])="IS_CONCEPT"</f>
        <v>0</v>
      </c>
      <c r="R147" s="8" t="b">
        <f>_xlfn.XLOOKUP(CONTROL[[#This Row],[VEHIDCODE]],PROPERTIES[VEHIDCODE],PROPERTIES[EXCLUDE])</f>
        <v>0</v>
      </c>
    </row>
    <row r="148" spans="1:18">
      <c r="A148" s="2" t="s">
        <v>2868</v>
      </c>
      <c r="B148" s="26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7" t="s">
        <v>2218</v>
      </c>
      <c r="G148" t="s">
        <v>1217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6" t="str">
        <f>"item_"&amp;CONTROL[[#This Row],[VEHIDCODE]]</f>
        <v>item_steam_Baldwin_2_8_0_Sentetsu_Sorii</v>
      </c>
      <c r="P148" s="26" t="str">
        <f>"str_"&amp;CONTROL[[#This Row],[VEHIDCODE]]</f>
        <v>str_steam_Baldwin_2_8_0_Sentetsu_Sorii</v>
      </c>
      <c r="Q148" s="8" t="b">
        <f>_xlfn.XLOOKUP(CONTROL[[#This Row],[VEHIDCODE]],PROPERTIES[VEHIDCODE],PROPERTIES[IS_CONCEPT])="IS_CONCEPT"</f>
        <v>0</v>
      </c>
      <c r="R148" s="8" t="b">
        <f>_xlfn.XLOOKUP(CONTROL[[#This Row],[VEHIDCODE]],PROPERTIES[VEHIDCODE],PROPERTIES[EXCLUDE])</f>
        <v>0</v>
      </c>
    </row>
    <row r="149" spans="1:18">
      <c r="A149" s="2" t="s">
        <v>2869</v>
      </c>
      <c r="B149" s="26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7" t="s">
        <v>2219</v>
      </c>
      <c r="G149" t="s">
        <v>1219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6" t="str">
        <f>"item_"&amp;CONTROL[[#This Row],[VEHIDCODE]]</f>
        <v>item_steam_Putilov_4_6_0_U</v>
      </c>
      <c r="P149" s="26" t="str">
        <f>"str_"&amp;CONTROL[[#This Row],[VEHIDCODE]]</f>
        <v>str_steam_Putilov_4_6_0_U</v>
      </c>
      <c r="Q149" s="8" t="b">
        <f>_xlfn.XLOOKUP(CONTROL[[#This Row],[VEHIDCODE]],PROPERTIES[VEHIDCODE],PROPERTIES[IS_CONCEPT])="IS_CONCEPT"</f>
        <v>0</v>
      </c>
      <c r="R149" s="8" t="b">
        <f>_xlfn.XLOOKUP(CONTROL[[#This Row],[VEHIDCODE]],PROPERTIES[VEHIDCODE],PROPERTIES[EXCLUDE])</f>
        <v>0</v>
      </c>
    </row>
    <row r="150" spans="1:18">
      <c r="A150" s="2" t="s">
        <v>2870</v>
      </c>
      <c r="B150" s="26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7" t="s">
        <v>2220</v>
      </c>
      <c r="G150" t="s">
        <v>1218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6" t="str">
        <f>"item_"&amp;CONTROL[[#This Row],[VEHIDCODE]]</f>
        <v>item_steam_Baldwin_12_44_F_2_10_0_Ye</v>
      </c>
      <c r="P150" s="26" t="str">
        <f>"str_"&amp;CONTROL[[#This Row],[VEHIDCODE]]</f>
        <v>str_steam_Baldwin_12_44_F_2_10_0_Ye</v>
      </c>
      <c r="Q150" s="8" t="b">
        <f>_xlfn.XLOOKUP(CONTROL[[#This Row],[VEHIDCODE]],PROPERTIES[VEHIDCODE],PROPERTIES[IS_CONCEPT])="IS_CONCEPT"</f>
        <v>0</v>
      </c>
      <c r="R150" s="8" t="b">
        <f>_xlfn.XLOOKUP(CONTROL[[#This Row],[VEHIDCODE]],PROPERTIES[VEHIDCODE],PROPERTIES[EXCLUDE])</f>
        <v>0</v>
      </c>
    </row>
    <row r="151" spans="1:18">
      <c r="A151" s="2" t="s">
        <v>2871</v>
      </c>
      <c r="B151" s="26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7" t="s">
        <v>2221</v>
      </c>
      <c r="G151" t="s">
        <v>1220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6" t="str">
        <f>"item_"&amp;CONTROL[[#This Row],[VEHIDCODE]]</f>
        <v>item_steam_Baldwin_4_6_0_50201</v>
      </c>
      <c r="P151" s="26" t="str">
        <f>"str_"&amp;CONTROL[[#This Row],[VEHIDCODE]]</f>
        <v>str_steam_Baldwin_4_6_0_50201</v>
      </c>
      <c r="Q151" s="8" t="b">
        <f>_xlfn.XLOOKUP(CONTROL[[#This Row],[VEHIDCODE]],PROPERTIES[VEHIDCODE],PROPERTIES[IS_CONCEPT])="IS_CONCEPT"</f>
        <v>0</v>
      </c>
      <c r="R151" s="8" t="b">
        <f>_xlfn.XLOOKUP(CONTROL[[#This Row],[VEHIDCODE]],PROPERTIES[VEHIDCODE],PROPERTIES[EXCLUDE])</f>
        <v>0</v>
      </c>
    </row>
    <row r="152" spans="1:18">
      <c r="A152" s="2" t="s">
        <v>2872</v>
      </c>
      <c r="B152" s="26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7" t="s">
        <v>395</v>
      </c>
      <c r="G152" t="s">
        <v>1221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6" t="str">
        <f>"item_"&amp;CONTROL[[#This Row],[VEHIDCODE]]</f>
        <v>item_steam_FS_480</v>
      </c>
      <c r="P152" s="26" t="str">
        <f>"str_"&amp;CONTROL[[#This Row],[VEHIDCODE]]</f>
        <v>str_steam_FS_480</v>
      </c>
      <c r="Q152" s="8" t="b">
        <f>_xlfn.XLOOKUP(CONTROL[[#This Row],[VEHIDCODE]],PROPERTIES[VEHIDCODE],PROPERTIES[IS_CONCEPT])="IS_CONCEPT"</f>
        <v>0</v>
      </c>
      <c r="R152" s="8" t="b">
        <f>_xlfn.XLOOKUP(CONTROL[[#This Row],[VEHIDCODE]],PROPERTIES[VEHIDCODE],PROPERTIES[EXCLUDE])</f>
        <v>0</v>
      </c>
    </row>
    <row r="153" spans="1:18">
      <c r="A153" s="2" t="s">
        <v>2873</v>
      </c>
      <c r="B153" s="26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7" t="s">
        <v>396</v>
      </c>
      <c r="G153" t="s">
        <v>1222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6" t="str">
        <f>"item_"&amp;CONTROL[[#This Row],[VEHIDCODE]]</f>
        <v>item_steam_FS_691</v>
      </c>
      <c r="P153" s="26" t="str">
        <f>"str_"&amp;CONTROL[[#This Row],[VEHIDCODE]]</f>
        <v>str_steam_FS_691</v>
      </c>
      <c r="Q153" s="8" t="b">
        <f>_xlfn.XLOOKUP(CONTROL[[#This Row],[VEHIDCODE]],PROPERTIES[VEHIDCODE],PROPERTIES[IS_CONCEPT])="IS_CONCEPT"</f>
        <v>0</v>
      </c>
      <c r="R153" s="8" t="b">
        <f>_xlfn.XLOOKUP(CONTROL[[#This Row],[VEHIDCODE]],PROPERTIES[VEHIDCODE],PROPERTIES[EXCLUDE])</f>
        <v>0</v>
      </c>
    </row>
    <row r="154" spans="1:18">
      <c r="A154" s="2" t="s">
        <v>2874</v>
      </c>
      <c r="B154" s="26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7" t="s">
        <v>2222</v>
      </c>
      <c r="G154" t="s">
        <v>1223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6" t="str">
        <f>"item_"&amp;CONTROL[[#This Row],[VEHIDCODE]]</f>
        <v>item_steam_North_British_Lb_2_10_0</v>
      </c>
      <c r="P154" s="26" t="str">
        <f>"str_"&amp;CONTROL[[#This Row],[VEHIDCODE]]</f>
        <v>str_steam_North_British_Lb_2_10_0</v>
      </c>
      <c r="Q154" s="8" t="b">
        <f>_xlfn.XLOOKUP(CONTROL[[#This Row],[VEHIDCODE]],PROPERTIES[VEHIDCODE],PROPERTIES[IS_CONCEPT])="IS_CONCEPT"</f>
        <v>0</v>
      </c>
      <c r="R154" s="8" t="b">
        <f>_xlfn.XLOOKUP(CONTROL[[#This Row],[VEHIDCODE]],PROPERTIES[VEHIDCODE],PROPERTIES[EXCLUDE])</f>
        <v>0</v>
      </c>
    </row>
    <row r="155" spans="1:18">
      <c r="A155" s="2" t="s">
        <v>2875</v>
      </c>
      <c r="B155" s="26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7" t="s">
        <v>2223</v>
      </c>
      <c r="G155" t="s">
        <v>1224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6" t="str">
        <f>"item_"&amp;CONTROL[[#This Row],[VEHIDCODE]]</f>
        <v>item_steam_ALCO_Baldwin_2_8_0_USATC_S160</v>
      </c>
      <c r="P155" s="26" t="str">
        <f>"str_"&amp;CONTROL[[#This Row],[VEHIDCODE]]</f>
        <v>str_steam_ALCO_Baldwin_2_8_0_USATC_S160</v>
      </c>
      <c r="Q155" s="8" t="b">
        <f>_xlfn.XLOOKUP(CONTROL[[#This Row],[VEHIDCODE]],PROPERTIES[VEHIDCODE],PROPERTIES[IS_CONCEPT])="IS_CONCEPT"</f>
        <v>0</v>
      </c>
      <c r="R155" s="8" t="b">
        <f>_xlfn.XLOOKUP(CONTROL[[#This Row],[VEHIDCODE]],PROPERTIES[VEHIDCODE],PROPERTIES[EXCLUDE])</f>
        <v>0</v>
      </c>
    </row>
    <row r="156" spans="1:18">
      <c r="A156" s="2" t="s">
        <v>3557</v>
      </c>
      <c r="B156" s="26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7" t="s">
        <v>3558</v>
      </c>
      <c r="G156" t="s">
        <v>1225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6" t="str">
        <f>"item_"&amp;CONTROL[[#This Row],[VEHIDCODE]]</f>
        <v>item_steam_RENFE_4_8_4_242F_Confederacion</v>
      </c>
      <c r="P156" s="26" t="str">
        <f>"str_"&amp;CONTROL[[#This Row],[VEHIDCODE]]</f>
        <v>str_steam_RENFE_4_8_4_242F_Confederacion</v>
      </c>
      <c r="Q156" s="8" t="b">
        <f>_xlfn.XLOOKUP(CONTROL[[#This Row],[VEHIDCODE]],PROPERTIES[VEHIDCODE],PROPERTIES[IS_CONCEPT])="IS_CONCEPT"</f>
        <v>0</v>
      </c>
      <c r="R156" s="8" t="b">
        <f>_xlfn.XLOOKUP(CONTROL[[#This Row],[VEHIDCODE]],PROPERTIES[VEHIDCODE],PROPERTIES[EXCLUDE])</f>
        <v>0</v>
      </c>
    </row>
    <row r="157" spans="1:18">
      <c r="A157" s="2" t="s">
        <v>2876</v>
      </c>
      <c r="B157" s="26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7" t="s">
        <v>2655</v>
      </c>
      <c r="G157" t="s">
        <v>1226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6" t="str">
        <f>"item_"&amp;CONTROL[[#This Row],[VEHIDCODE]]</f>
        <v>item_steam_Skoda_6Lo</v>
      </c>
      <c r="P157" s="26" t="str">
        <f>"str_"&amp;CONTROL[[#This Row],[VEHIDCODE]]</f>
        <v>str_steam_Skoda_6Lo</v>
      </c>
      <c r="Q157" s="8" t="b">
        <f>_xlfn.XLOOKUP(CONTROL[[#This Row],[VEHIDCODE]],PROPERTIES[VEHIDCODE],PROPERTIES[IS_CONCEPT])="IS_CONCEPT"</f>
        <v>0</v>
      </c>
      <c r="R157" s="8" t="b">
        <f>_xlfn.XLOOKUP(CONTROL[[#This Row],[VEHIDCODE]],PROPERTIES[VEHIDCODE],PROPERTIES[EXCLUDE])</f>
        <v>0</v>
      </c>
    </row>
    <row r="158" spans="1:18">
      <c r="A158" s="2" t="s">
        <v>2877</v>
      </c>
      <c r="B158" s="26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7" t="s">
        <v>2224</v>
      </c>
      <c r="G158" t="s">
        <v>1227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6" t="str">
        <f>"item_"&amp;CONTROL[[#This Row],[VEHIDCODE]]</f>
        <v>item_steam_Hanomag_Fablok_4_6_0_Ok22</v>
      </c>
      <c r="P158" s="26" t="str">
        <f>"str_"&amp;CONTROL[[#This Row],[VEHIDCODE]]</f>
        <v>str_steam_Hanomag_Fablok_4_6_0_Ok22</v>
      </c>
      <c r="Q158" s="8" t="b">
        <f>_xlfn.XLOOKUP(CONTROL[[#This Row],[VEHIDCODE]],PROPERTIES[VEHIDCODE],PROPERTIES[IS_CONCEPT])="IS_CONCEPT"</f>
        <v>0</v>
      </c>
      <c r="R158" s="8" t="b">
        <f>_xlfn.XLOOKUP(CONTROL[[#This Row],[VEHIDCODE]],PROPERTIES[VEHIDCODE],PROPERTIES[EXCLUDE])</f>
        <v>0</v>
      </c>
    </row>
    <row r="159" spans="1:18">
      <c r="A159" s="2" t="s">
        <v>2878</v>
      </c>
      <c r="B159" s="26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7" t="s">
        <v>2225</v>
      </c>
      <c r="G159" t="s">
        <v>1228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6" t="str">
        <f>"item_"&amp;CONTROL[[#This Row],[VEHIDCODE]]</f>
        <v>item_steam_MAVAG_4_8_0_424</v>
      </c>
      <c r="P159" s="26" t="str">
        <f>"str_"&amp;CONTROL[[#This Row],[VEHIDCODE]]</f>
        <v>str_steam_MAVAG_4_8_0_424</v>
      </c>
      <c r="Q159" s="8" t="b">
        <f>_xlfn.XLOOKUP(CONTROL[[#This Row],[VEHIDCODE]],PROPERTIES[VEHIDCODE],PROPERTIES[IS_CONCEPT])="IS_CONCEPT"</f>
        <v>0</v>
      </c>
      <c r="R159" s="8" t="b">
        <f>_xlfn.XLOOKUP(CONTROL[[#This Row],[VEHIDCODE]],PROPERTIES[VEHIDCODE],PROPERTIES[EXCLUDE])</f>
        <v>0</v>
      </c>
    </row>
    <row r="160" spans="1:18">
      <c r="A160" s="2" t="s">
        <v>2879</v>
      </c>
      <c r="B160" s="26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7" t="s">
        <v>2226</v>
      </c>
      <c r="G160" t="s">
        <v>1229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6" t="str">
        <f>"item_"&amp;CONTROL[[#This Row],[VEHIDCODE]]</f>
        <v>item_steam_MAVAG_4_4_4T_242</v>
      </c>
      <c r="P160" s="26" t="str">
        <f>"str_"&amp;CONTROL[[#This Row],[VEHIDCODE]]</f>
        <v>str_steam_MAVAG_4_4_4T_242</v>
      </c>
      <c r="Q160" s="8" t="b">
        <f>_xlfn.XLOOKUP(CONTROL[[#This Row],[VEHIDCODE]],PROPERTIES[VEHIDCODE],PROPERTIES[IS_CONCEPT])="IS_CONCEPT"</f>
        <v>0</v>
      </c>
      <c r="R160" s="8" t="b">
        <f>_xlfn.XLOOKUP(CONTROL[[#This Row],[VEHIDCODE]],PROPERTIES[VEHIDCODE],PROPERTIES[EXCLUDE])</f>
        <v>0</v>
      </c>
    </row>
    <row r="161" spans="1:18">
      <c r="A161" s="2" t="s">
        <v>2880</v>
      </c>
      <c r="B161" s="26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7" t="s">
        <v>2227</v>
      </c>
      <c r="G161" t="s">
        <v>1703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6" t="str">
        <f>"item_"&amp;CONTROL[[#This Row],[VEHIDCODE]]</f>
        <v>item_steam_Vulcan_Foundry_2_8_0_Liberation</v>
      </c>
      <c r="P161" s="26" t="str">
        <f>"str_"&amp;CONTROL[[#This Row],[VEHIDCODE]]</f>
        <v>str_steam_Vulcan_Foundry_2_8_0_Liberation</v>
      </c>
      <c r="Q161" s="8" t="b">
        <f>_xlfn.XLOOKUP(CONTROL[[#This Row],[VEHIDCODE]],PROPERTIES[VEHIDCODE],PROPERTIES[IS_CONCEPT])="IS_CONCEPT"</f>
        <v>0</v>
      </c>
      <c r="R161" s="8" t="b">
        <f>_xlfn.XLOOKUP(CONTROL[[#This Row],[VEHIDCODE]],PROPERTIES[VEHIDCODE],PROPERTIES[EXCLUDE])</f>
        <v>0</v>
      </c>
    </row>
    <row r="162" spans="1:18">
      <c r="A162" s="2" t="s">
        <v>2881</v>
      </c>
      <c r="B162" s="26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7" t="s">
        <v>2228</v>
      </c>
      <c r="G162" t="s">
        <v>1230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6" t="str">
        <f>"item_"&amp;CONTROL[[#This Row],[VEHIDCODE]]</f>
        <v>item_steam_Fablok_2_6_2_OI49</v>
      </c>
      <c r="P162" s="26" t="str">
        <f>"str_"&amp;CONTROL[[#This Row],[VEHIDCODE]]</f>
        <v>str_steam_Fablok_2_6_2_OI49</v>
      </c>
      <c r="Q162" s="8" t="b">
        <f>_xlfn.XLOOKUP(CONTROL[[#This Row],[VEHIDCODE]],PROPERTIES[VEHIDCODE],PROPERTIES[IS_CONCEPT])="IS_CONCEPT"</f>
        <v>0</v>
      </c>
      <c r="R162" s="8" t="b">
        <f>_xlfn.XLOOKUP(CONTROL[[#This Row],[VEHIDCODE]],PROPERTIES[VEHIDCODE],PROPERTIES[EXCLUDE])</f>
        <v>0</v>
      </c>
    </row>
    <row r="163" spans="1:18">
      <c r="A163" s="2" t="s">
        <v>2882</v>
      </c>
      <c r="B163" s="26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7" t="s">
        <v>2229</v>
      </c>
      <c r="G163" t="s">
        <v>1231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6" t="str">
        <f>"item_"&amp;CONTROL[[#This Row],[VEHIDCODE]]</f>
        <v>item_steam_Floridsdorf_2_6_2_KkStB_310</v>
      </c>
      <c r="P163" s="26" t="str">
        <f>"str_"&amp;CONTROL[[#This Row],[VEHIDCODE]]</f>
        <v>str_steam_Floridsdorf_2_6_2_KkStB_310</v>
      </c>
      <c r="Q163" s="8" t="b">
        <f>_xlfn.XLOOKUP(CONTROL[[#This Row],[VEHIDCODE]],PROPERTIES[VEHIDCODE],PROPERTIES[IS_CONCEPT])="IS_CONCEPT"</f>
        <v>0</v>
      </c>
      <c r="R163" s="8" t="b">
        <f>_xlfn.XLOOKUP(CONTROL[[#This Row],[VEHIDCODE]],PROPERTIES[VEHIDCODE],PROPERTIES[EXCLUDE])</f>
        <v>0</v>
      </c>
    </row>
    <row r="164" spans="1:18">
      <c r="A164" s="2" t="s">
        <v>2883</v>
      </c>
      <c r="B164" s="26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7" t="s">
        <v>2358</v>
      </c>
      <c r="G164" t="s">
        <v>1232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6" t="str">
        <f>"item_"&amp;CONTROL[[#This Row],[VEHIDCODE]]</f>
        <v>item_steam_Lima__4_8_4_7798_7817_Daylight</v>
      </c>
      <c r="P164" s="26" t="str">
        <f>"str_"&amp;CONTROL[[#This Row],[VEHIDCODE]]</f>
        <v>str_steam_Lima__4_8_4_7798_7817_Daylight</v>
      </c>
      <c r="Q164" s="8" t="b">
        <f>_xlfn.XLOOKUP(CONTROL[[#This Row],[VEHIDCODE]],PROPERTIES[VEHIDCODE],PROPERTIES[IS_CONCEPT])="IS_CONCEPT"</f>
        <v>0</v>
      </c>
      <c r="R164" s="8" t="b">
        <f>_xlfn.XLOOKUP(CONTROL[[#This Row],[VEHIDCODE]],PROPERTIES[VEHIDCODE],PROPERTIES[EXCLUDE])</f>
        <v>0</v>
      </c>
    </row>
    <row r="165" spans="1:18">
      <c r="A165" s="2" t="s">
        <v>2884</v>
      </c>
      <c r="B165" s="26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7" t="s">
        <v>2230</v>
      </c>
      <c r="G165" t="s">
        <v>1233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6" t="str">
        <f>"item_"&amp;CONTROL[[#This Row],[VEHIDCODE]]</f>
        <v>item_steam_GS_WR_0_6_0_101</v>
      </c>
      <c r="P165" s="26" t="str">
        <f>"str_"&amp;CONTROL[[#This Row],[VEHIDCODE]]</f>
        <v>str_steam_GS_WR_0_6_0_101</v>
      </c>
      <c r="Q165" s="8" t="b">
        <f>_xlfn.XLOOKUP(CONTROL[[#This Row],[VEHIDCODE]],PROPERTIES[VEHIDCODE],PROPERTIES[IS_CONCEPT])="IS_CONCEPT"</f>
        <v>0</v>
      </c>
      <c r="R165" s="8" t="b">
        <f>_xlfn.XLOOKUP(CONTROL[[#This Row],[VEHIDCODE]],PROPERTIES[VEHIDCODE],PROPERTIES[EXCLUDE])</f>
        <v>0</v>
      </c>
    </row>
    <row r="166" spans="1:18">
      <c r="A166" s="2" t="s">
        <v>2885</v>
      </c>
      <c r="B166" s="26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7" t="s">
        <v>2359</v>
      </c>
      <c r="G166" t="s">
        <v>1234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6" t="str">
        <f>"item_"&amp;CONTROL[[#This Row],[VEHIDCODE]]</f>
        <v>item_steam_ALCO_2_8_2_5100_5194_Light_Mikado</v>
      </c>
      <c r="P166" s="26" t="str">
        <f>"str_"&amp;CONTROL[[#This Row],[VEHIDCODE]]</f>
        <v>str_steam_ALCO_2_8_2_5100_5194_Light_Mikado</v>
      </c>
      <c r="Q166" s="8" t="b">
        <f>_xlfn.XLOOKUP(CONTROL[[#This Row],[VEHIDCODE]],PROPERTIES[VEHIDCODE],PROPERTIES[IS_CONCEPT])="IS_CONCEPT"</f>
        <v>0</v>
      </c>
      <c r="R166" s="8" t="b">
        <f>_xlfn.XLOOKUP(CONTROL[[#This Row],[VEHIDCODE]],PROPERTIES[VEHIDCODE],PROPERTIES[EXCLUDE])</f>
        <v>0</v>
      </c>
    </row>
    <row r="167" spans="1:18">
      <c r="A167" s="2" t="s">
        <v>2886</v>
      </c>
      <c r="B167" s="26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7" t="s">
        <v>1750</v>
      </c>
      <c r="G167" t="s">
        <v>1235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6" t="str">
        <f>"item_"&amp;CONTROL[[#This Row],[VEHIDCODE]]</f>
        <v>item_steam_FCGR__BAGS__No__315_2_4_0T</v>
      </c>
      <c r="P167" s="26" t="str">
        <f>"str_"&amp;CONTROL[[#This Row],[VEHIDCODE]]</f>
        <v>str_steam_FCGR__BAGS__No__315_2_4_0T</v>
      </c>
      <c r="Q167" s="8" t="b">
        <f>_xlfn.XLOOKUP(CONTROL[[#This Row],[VEHIDCODE]],PROPERTIES[VEHIDCODE],PROPERTIES[IS_CONCEPT])="IS_CONCEPT"</f>
        <v>0</v>
      </c>
      <c r="R167" s="8" t="b">
        <f>_xlfn.XLOOKUP(CONTROL[[#This Row],[VEHIDCODE]],PROPERTIES[VEHIDCODE],PROPERTIES[EXCLUDE])</f>
        <v>0</v>
      </c>
    </row>
    <row r="168" spans="1:18">
      <c r="A168" s="2" t="s">
        <v>2887</v>
      </c>
      <c r="B168" s="26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7" t="s">
        <v>2231</v>
      </c>
      <c r="G168" t="s">
        <v>1236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6" t="str">
        <f>"item_"&amp;CONTROL[[#This Row],[VEHIDCODE]]</f>
        <v>item_steam_Eveleigh_4_6_0_C35</v>
      </c>
      <c r="P168" s="26" t="str">
        <f>"str_"&amp;CONTROL[[#This Row],[VEHIDCODE]]</f>
        <v>str_steam_Eveleigh_4_6_0_C35</v>
      </c>
      <c r="Q168" s="8" t="b">
        <f>_xlfn.XLOOKUP(CONTROL[[#This Row],[VEHIDCODE]],PROPERTIES[VEHIDCODE],PROPERTIES[IS_CONCEPT])="IS_CONCEPT"</f>
        <v>0</v>
      </c>
      <c r="R168" s="8" t="b">
        <f>_xlfn.XLOOKUP(CONTROL[[#This Row],[VEHIDCODE]],PROPERTIES[VEHIDCODE],PROPERTIES[EXCLUDE])</f>
        <v>0</v>
      </c>
    </row>
    <row r="169" spans="1:18">
      <c r="A169" s="2" t="s">
        <v>2888</v>
      </c>
      <c r="B169" s="26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7" t="s">
        <v>2360</v>
      </c>
      <c r="G169" t="s">
        <v>1237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6" t="str">
        <f>"item_"&amp;CONTROL[[#This Row],[VEHIDCODE]]</f>
        <v>item_steam_ALCO_2_8_0_74707_74785_Type_29</v>
      </c>
      <c r="P169" s="26" t="str">
        <f>"str_"&amp;CONTROL[[#This Row],[VEHIDCODE]]</f>
        <v>str_steam_ALCO_2_8_0_74707_74785_Type_29</v>
      </c>
      <c r="Q169" s="8" t="b">
        <f>_xlfn.XLOOKUP(CONTROL[[#This Row],[VEHIDCODE]],PROPERTIES[VEHIDCODE],PROPERTIES[IS_CONCEPT])="IS_CONCEPT"</f>
        <v>0</v>
      </c>
      <c r="R169" s="8" t="b">
        <f>_xlfn.XLOOKUP(CONTROL[[#This Row],[VEHIDCODE]],PROPERTIES[VEHIDCODE],PROPERTIES[EXCLUDE])</f>
        <v>0</v>
      </c>
    </row>
    <row r="170" spans="1:18">
      <c r="A170" s="2" t="s">
        <v>2889</v>
      </c>
      <c r="B170" s="26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7" t="s">
        <v>1238</v>
      </c>
      <c r="G170" t="s">
        <v>1239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6" t="str">
        <f>"item_"&amp;CONTROL[[#This Row],[VEHIDCODE]]</f>
        <v>item_steam_FCAB_4_8_2_Vulcan_Mountain</v>
      </c>
      <c r="P170" s="26" t="str">
        <f>"str_"&amp;CONTROL[[#This Row],[VEHIDCODE]]</f>
        <v>str_steam_FCAB_4_8_2_Vulcan_Mountain</v>
      </c>
      <c r="Q170" s="8" t="b">
        <f>_xlfn.XLOOKUP(CONTROL[[#This Row],[VEHIDCODE]],PROPERTIES[VEHIDCODE],PROPERTIES[IS_CONCEPT])="IS_CONCEPT"</f>
        <v>0</v>
      </c>
      <c r="R170" s="8" t="b">
        <f>_xlfn.XLOOKUP(CONTROL[[#This Row],[VEHIDCODE]],PROPERTIES[VEHIDCODE],PROPERTIES[EXCLUDE])</f>
        <v>1</v>
      </c>
    </row>
    <row r="171" spans="1:18">
      <c r="A171" s="2" t="s">
        <v>2890</v>
      </c>
      <c r="B171" s="26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7" t="s">
        <v>2361</v>
      </c>
      <c r="G171" t="s">
        <v>1240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6" t="str">
        <f>"item_"&amp;CONTROL[[#This Row],[VEHIDCODE]]</f>
        <v>item_steam_Datong_QJ_2_10_2_101_3602</v>
      </c>
      <c r="P171" s="26" t="str">
        <f>"str_"&amp;CONTROL[[#This Row],[VEHIDCODE]]</f>
        <v>str_steam_Datong_QJ_2_10_2_101_3602</v>
      </c>
      <c r="Q171" s="8" t="b">
        <f>_xlfn.XLOOKUP(CONTROL[[#This Row],[VEHIDCODE]],PROPERTIES[VEHIDCODE],PROPERTIES[IS_CONCEPT])="IS_CONCEPT"</f>
        <v>0</v>
      </c>
      <c r="R171" s="8" t="b">
        <f>_xlfn.XLOOKUP(CONTROL[[#This Row],[VEHIDCODE]],PROPERTIES[VEHIDCODE],PROPERTIES[EXCLUDE])</f>
        <v>0</v>
      </c>
    </row>
    <row r="172" spans="1:18">
      <c r="A172" s="2" t="s">
        <v>2891</v>
      </c>
      <c r="B172" s="26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7" t="s">
        <v>3614</v>
      </c>
      <c r="G172" t="s">
        <v>1241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6" t="str">
        <f>"item_"&amp;CONTROL[[#This Row],[VEHIDCODE]]</f>
        <v>item_diesel_DB_Kof_II___DB_322</v>
      </c>
      <c r="P172" s="26" t="str">
        <f>"str_"&amp;CONTROL[[#This Row],[VEHIDCODE]]</f>
        <v>str_diesel_DB_Kof_II___DB_322</v>
      </c>
      <c r="Q172" s="8" t="b">
        <f>_xlfn.XLOOKUP(CONTROL[[#This Row],[VEHIDCODE]],PROPERTIES[VEHIDCODE],PROPERTIES[IS_CONCEPT])="IS_CONCEPT"</f>
        <v>0</v>
      </c>
      <c r="R172" s="8" t="b">
        <f>_xlfn.XLOOKUP(CONTROL[[#This Row],[VEHIDCODE]],PROPERTIES[VEHIDCODE],PROPERTIES[EXCLUDE])</f>
        <v>0</v>
      </c>
    </row>
    <row r="173" spans="1:18">
      <c r="A173" s="2" t="s">
        <v>2892</v>
      </c>
      <c r="B173" s="26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7" t="s">
        <v>1242</v>
      </c>
      <c r="G173" t="s">
        <v>1244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6" t="str">
        <f>"item_"&amp;CONTROL[[#This Row],[VEHIDCODE]]</f>
        <v>item_diesel_CNJ_ALCo_GE_IR_Boxcab_100T</v>
      </c>
      <c r="P173" s="26" t="str">
        <f>"str_"&amp;CONTROL[[#This Row],[VEHIDCODE]]</f>
        <v>str_diesel_CNJ_ALCo_GE_IR_Boxcab_100T</v>
      </c>
      <c r="Q173" s="8" t="b">
        <f>_xlfn.XLOOKUP(CONTROL[[#This Row],[VEHIDCODE]],PROPERTIES[VEHIDCODE],PROPERTIES[IS_CONCEPT])="IS_CONCEPT"</f>
        <v>0</v>
      </c>
      <c r="R173" s="8" t="b">
        <f>_xlfn.XLOOKUP(CONTROL[[#This Row],[VEHIDCODE]],PROPERTIES[VEHIDCODE],PROPERTIES[EXCLUDE])</f>
        <v>0</v>
      </c>
    </row>
    <row r="174" spans="1:18">
      <c r="A174" s="2" t="s">
        <v>2893</v>
      </c>
      <c r="B174" s="26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7" t="s">
        <v>2232</v>
      </c>
      <c r="G174" t="s">
        <v>1243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6" t="str">
        <f>"item_"&amp;CONTROL[[#This Row],[VEHIDCODE]]</f>
        <v>item_diesel_Werkspoor_200_Sik</v>
      </c>
      <c r="P174" s="26" t="str">
        <f>"str_"&amp;CONTROL[[#This Row],[VEHIDCODE]]</f>
        <v>str_diesel_Werkspoor_200_Sik</v>
      </c>
      <c r="Q174" s="8" t="b">
        <f>_xlfn.XLOOKUP(CONTROL[[#This Row],[VEHIDCODE]],PROPERTIES[VEHIDCODE],PROPERTIES[IS_CONCEPT])="IS_CONCEPT"</f>
        <v>0</v>
      </c>
      <c r="R174" s="8" t="b">
        <f>_xlfn.XLOOKUP(CONTROL[[#This Row],[VEHIDCODE]],PROPERTIES[VEHIDCODE],PROPERTIES[EXCLUDE])</f>
        <v>0</v>
      </c>
    </row>
    <row r="175" spans="1:18">
      <c r="A175" s="2" t="s">
        <v>2894</v>
      </c>
      <c r="B175" s="26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7" t="s">
        <v>2233</v>
      </c>
      <c r="G175" t="s">
        <v>1245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6" t="str">
        <f>"item_"&amp;CONTROL[[#This Row],[VEHIDCODE]]</f>
        <v>item_diesel_BMAG_WR_200_B_14</v>
      </c>
      <c r="P175" s="26" t="str">
        <f>"str_"&amp;CONTROL[[#This Row],[VEHIDCODE]]</f>
        <v>str_diesel_BMAG_WR_200_B_14</v>
      </c>
      <c r="Q175" s="8" t="b">
        <f>_xlfn.XLOOKUP(CONTROL[[#This Row],[VEHIDCODE]],PROPERTIES[VEHIDCODE],PROPERTIES[IS_CONCEPT])="IS_CONCEPT"</f>
        <v>0</v>
      </c>
      <c r="R175" s="8" t="b">
        <f>_xlfn.XLOOKUP(CONTROL[[#This Row],[VEHIDCODE]],PROPERTIES[VEHIDCODE],PROPERTIES[EXCLUDE])</f>
        <v>0</v>
      </c>
    </row>
    <row r="176" spans="1:18">
      <c r="A176" s="2" t="s">
        <v>2895</v>
      </c>
      <c r="B176" s="26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7" t="s">
        <v>2044</v>
      </c>
      <c r="G176" t="s">
        <v>1246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6" t="str">
        <f>"item_"&amp;CONTROL[[#This Row],[VEHIDCODE]]</f>
        <v>item_diesel_BBC_SLM_Am_4_6</v>
      </c>
      <c r="P176" s="26" t="str">
        <f>"str_"&amp;CONTROL[[#This Row],[VEHIDCODE]]</f>
        <v>str_diesel_BBC_SLM_Am_4_6</v>
      </c>
      <c r="Q176" s="8" t="b">
        <f>_xlfn.XLOOKUP(CONTROL[[#This Row],[VEHIDCODE]],PROPERTIES[VEHIDCODE],PROPERTIES[IS_CONCEPT])="IS_CONCEPT"</f>
        <v>0</v>
      </c>
      <c r="R176" s="8" t="b">
        <f>_xlfn.XLOOKUP(CONTROL[[#This Row],[VEHIDCODE]],PROPERTIES[VEHIDCODE],PROPERTIES[EXCLUDE])</f>
        <v>0</v>
      </c>
    </row>
    <row r="177" spans="1:18">
      <c r="A177" s="2" t="s">
        <v>2896</v>
      </c>
      <c r="B177" s="26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7" t="s">
        <v>2680</v>
      </c>
      <c r="G177" t="s">
        <v>1247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6" t="str">
        <f>"item_"&amp;CONTROL[[#This Row],[VEHIDCODE]]</f>
        <v>item_diesel_GE_44_ton_switcher</v>
      </c>
      <c r="P177" s="26" t="str">
        <f>"str_"&amp;CONTROL[[#This Row],[VEHIDCODE]]</f>
        <v>str_diesel_GE_44_ton_switcher</v>
      </c>
      <c r="Q177" s="8" t="b">
        <f>_xlfn.XLOOKUP(CONTROL[[#This Row],[VEHIDCODE]],PROPERTIES[VEHIDCODE],PROPERTIES[IS_CONCEPT])="IS_CONCEPT"</f>
        <v>0</v>
      </c>
      <c r="R177" s="8" t="b">
        <f>_xlfn.XLOOKUP(CONTROL[[#This Row],[VEHIDCODE]],PROPERTIES[VEHIDCODE],PROPERTIES[EXCLUDE])</f>
        <v>0</v>
      </c>
    </row>
    <row r="178" spans="1:18">
      <c r="A178" s="2" t="s">
        <v>2897</v>
      </c>
      <c r="B178" s="26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7" t="s">
        <v>2045</v>
      </c>
      <c r="G178" t="s">
        <v>1249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6" t="str">
        <f>"item_"&amp;CONTROL[[#This Row],[VEHIDCODE]]</f>
        <v>item_diesel_ALCO_S_2</v>
      </c>
      <c r="P178" s="26" t="str">
        <f>"str_"&amp;CONTROL[[#This Row],[VEHIDCODE]]</f>
        <v>str_diesel_ALCO_S_2</v>
      </c>
      <c r="Q178" s="8" t="b">
        <f>_xlfn.XLOOKUP(CONTROL[[#This Row],[VEHIDCODE]],PROPERTIES[VEHIDCODE],PROPERTIES[IS_CONCEPT])="IS_CONCEPT"</f>
        <v>0</v>
      </c>
      <c r="R178" s="8" t="b">
        <f>_xlfn.XLOOKUP(CONTROL[[#This Row],[VEHIDCODE]],PROPERTIES[VEHIDCODE],PROPERTIES[EXCLUDE])</f>
        <v>0</v>
      </c>
    </row>
    <row r="179" spans="1:18">
      <c r="A179" s="2" t="s">
        <v>2898</v>
      </c>
      <c r="B179" s="26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7" t="s">
        <v>2046</v>
      </c>
      <c r="G179" t="s">
        <v>1248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6" t="str">
        <f>"item_"&amp;CONTROL[[#This Row],[VEHIDCODE]]</f>
        <v>item_diesel_EMD_F3</v>
      </c>
      <c r="P179" s="26" t="str">
        <f>"str_"&amp;CONTROL[[#This Row],[VEHIDCODE]]</f>
        <v>str_diesel_EMD_F3</v>
      </c>
      <c r="Q179" s="8" t="b">
        <f>_xlfn.XLOOKUP(CONTROL[[#This Row],[VEHIDCODE]],PROPERTIES[VEHIDCODE],PROPERTIES[IS_CONCEPT])="IS_CONCEPT"</f>
        <v>0</v>
      </c>
      <c r="R179" s="8" t="b">
        <f>_xlfn.XLOOKUP(CONTROL[[#This Row],[VEHIDCODE]],PROPERTIES[VEHIDCODE],PROPERTIES[EXCLUDE])</f>
        <v>0</v>
      </c>
    </row>
    <row r="180" spans="1:18">
      <c r="A180" s="2" t="s">
        <v>2899</v>
      </c>
      <c r="B180" s="26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7" t="s">
        <v>2047</v>
      </c>
      <c r="G180" t="s">
        <v>1251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6" t="str">
        <f>"item_"&amp;CONTROL[[#This Row],[VEHIDCODE]]</f>
        <v>item_diesel_EMD_E8</v>
      </c>
      <c r="P180" s="26" t="str">
        <f>"str_"&amp;CONTROL[[#This Row],[VEHIDCODE]]</f>
        <v>str_diesel_EMD_E8</v>
      </c>
      <c r="Q180" s="8" t="b">
        <f>_xlfn.XLOOKUP(CONTROL[[#This Row],[VEHIDCODE]],PROPERTIES[VEHIDCODE],PROPERTIES[IS_CONCEPT])="IS_CONCEPT"</f>
        <v>0</v>
      </c>
      <c r="R180" s="8" t="b">
        <f>_xlfn.XLOOKUP(CONTROL[[#This Row],[VEHIDCODE]],PROPERTIES[VEHIDCODE],PROPERTIES[EXCLUDE])</f>
        <v>0</v>
      </c>
    </row>
    <row r="181" spans="1:18">
      <c r="A181" s="2" t="s">
        <v>2900</v>
      </c>
      <c r="B181" s="26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7" t="s">
        <v>3597</v>
      </c>
      <c r="G181" t="s">
        <v>1253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6" t="str">
        <f>"item_"&amp;CONTROL[[#This Row],[VEHIDCODE]]</f>
        <v>item_diesel_EFCB_ALCO_RS_3</v>
      </c>
      <c r="P181" s="26" t="str">
        <f>"str_"&amp;CONTROL[[#This Row],[VEHIDCODE]]</f>
        <v>str_diesel_EFCB_ALCO_RS_3</v>
      </c>
      <c r="Q181" s="8" t="b">
        <f>_xlfn.XLOOKUP(CONTROL[[#This Row],[VEHIDCODE]],PROPERTIES[VEHIDCODE],PROPERTIES[IS_CONCEPT])="IS_CONCEPT"</f>
        <v>0</v>
      </c>
      <c r="R181" s="8" t="b">
        <f>_xlfn.XLOOKUP(CONTROL[[#This Row],[VEHIDCODE]],PROPERTIES[VEHIDCODE],PROPERTIES[EXCLUDE])</f>
        <v>0</v>
      </c>
    </row>
    <row r="182" spans="1:18">
      <c r="A182" s="2" t="s">
        <v>2901</v>
      </c>
      <c r="B182" s="26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7" t="s">
        <v>2234</v>
      </c>
      <c r="G182" t="s">
        <v>1254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6" t="str">
        <f>"item_"&amp;CONTROL[[#This Row],[VEHIDCODE]]</f>
        <v>item_diesel_English_Electric_Bakkie</v>
      </c>
      <c r="P182" s="26" t="str">
        <f>"str_"&amp;CONTROL[[#This Row],[VEHIDCODE]]</f>
        <v>str_diesel_English_Electric_Bakkie</v>
      </c>
      <c r="Q182" s="8" t="b">
        <f>_xlfn.XLOOKUP(CONTROL[[#This Row],[VEHIDCODE]],PROPERTIES[VEHIDCODE],PROPERTIES[IS_CONCEPT])="IS_CONCEPT"</f>
        <v>0</v>
      </c>
      <c r="R182" s="8" t="b">
        <f>_xlfn.XLOOKUP(CONTROL[[#This Row],[VEHIDCODE]],PROPERTIES[VEHIDCODE],PROPERTIES[EXCLUDE])</f>
        <v>0</v>
      </c>
    </row>
    <row r="183" spans="1:18">
      <c r="A183" s="2" t="s">
        <v>2902</v>
      </c>
      <c r="B183" s="26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7" t="s">
        <v>2048</v>
      </c>
      <c r="G183" t="s">
        <v>1255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6" t="str">
        <f>"item_"&amp;CONTROL[[#This Row],[VEHIDCODE]]</f>
        <v>item_diesel_Baldwin_RF_16_Sharknose</v>
      </c>
      <c r="P183" s="26" t="str">
        <f>"str_"&amp;CONTROL[[#This Row],[VEHIDCODE]]</f>
        <v>str_diesel_Baldwin_RF_16_Sharknose</v>
      </c>
      <c r="Q183" s="8" t="b">
        <f>_xlfn.XLOOKUP(CONTROL[[#This Row],[VEHIDCODE]],PROPERTIES[VEHIDCODE],PROPERTIES[IS_CONCEPT])="IS_CONCEPT"</f>
        <v>0</v>
      </c>
      <c r="R183" s="8" t="b">
        <f>_xlfn.XLOOKUP(CONTROL[[#This Row],[VEHIDCODE]],PROPERTIES[VEHIDCODE],PROPERTIES[EXCLUDE])</f>
        <v>0</v>
      </c>
    </row>
    <row r="184" spans="1:18">
      <c r="A184" s="2" t="s">
        <v>2903</v>
      </c>
      <c r="B184" s="26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7" t="s">
        <v>397</v>
      </c>
      <c r="G184" t="s">
        <v>1205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6" t="str">
        <f>"item_"&amp;CONTROL[[#This Row],[VEHIDCODE]]</f>
        <v>item_diesel_AFE_1500</v>
      </c>
      <c r="P184" s="26" t="str">
        <f>"str_"&amp;CONTROL[[#This Row],[VEHIDCODE]]</f>
        <v>str_diesel_AFE_1500</v>
      </c>
      <c r="Q184" s="8" t="b">
        <f>_xlfn.XLOOKUP(CONTROL[[#This Row],[VEHIDCODE]],PROPERTIES[VEHIDCODE],PROPERTIES[IS_CONCEPT])="IS_CONCEPT"</f>
        <v>0</v>
      </c>
      <c r="R184" s="8" t="b">
        <f>_xlfn.XLOOKUP(CONTROL[[#This Row],[VEHIDCODE]],PROPERTIES[VEHIDCODE],PROPERTIES[EXCLUDE])</f>
        <v>0</v>
      </c>
    </row>
    <row r="185" spans="1:18">
      <c r="A185" s="2" t="s">
        <v>2904</v>
      </c>
      <c r="B185" s="26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7" t="s">
        <v>2049</v>
      </c>
      <c r="G185" t="s">
        <v>1256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6" t="str">
        <f>"item_"&amp;CONTROL[[#This Row],[VEHIDCODE]]</f>
        <v>item_diesel_FM_H_24_66_Trainmaster</v>
      </c>
      <c r="P185" s="26" t="str">
        <f>"str_"&amp;CONTROL[[#This Row],[VEHIDCODE]]</f>
        <v>str_diesel_FM_H_24_66_Trainmaster</v>
      </c>
      <c r="Q185" s="8" t="b">
        <f>_xlfn.XLOOKUP(CONTROL[[#This Row],[VEHIDCODE]],PROPERTIES[VEHIDCODE],PROPERTIES[IS_CONCEPT])="IS_CONCEPT"</f>
        <v>0</v>
      </c>
      <c r="R185" s="8" t="b">
        <f>_xlfn.XLOOKUP(CONTROL[[#This Row],[VEHIDCODE]],PROPERTIES[VEHIDCODE],PROPERTIES[EXCLUDE])</f>
        <v>0</v>
      </c>
    </row>
    <row r="186" spans="1:18">
      <c r="A186" s="2" t="s">
        <v>2905</v>
      </c>
      <c r="B186" s="26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7" t="s">
        <v>2235</v>
      </c>
      <c r="G186" t="s">
        <v>1257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6" t="str">
        <f>"item_"&amp;CONTROL[[#This Row],[VEHIDCODE]]</f>
        <v>item_diesel_BR_Class_08_0_6_0DE</v>
      </c>
      <c r="P186" s="26" t="str">
        <f>"str_"&amp;CONTROL[[#This Row],[VEHIDCODE]]</f>
        <v>str_diesel_BR_Class_08_0_6_0DE</v>
      </c>
      <c r="Q186" s="8" t="b">
        <f>_xlfn.XLOOKUP(CONTROL[[#This Row],[VEHIDCODE]],PROPERTIES[VEHIDCODE],PROPERTIES[IS_CONCEPT])="IS_CONCEPT"</f>
        <v>0</v>
      </c>
      <c r="R186" s="8" t="b">
        <f>_xlfn.XLOOKUP(CONTROL[[#This Row],[VEHIDCODE]],PROPERTIES[VEHIDCODE],PROPERTIES[EXCLUDE])</f>
        <v>0</v>
      </c>
    </row>
    <row r="187" spans="1:18">
      <c r="A187" s="2" t="s">
        <v>2906</v>
      </c>
      <c r="B187" s="26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7" t="s">
        <v>2236</v>
      </c>
      <c r="G187" t="s">
        <v>1258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6" t="str">
        <f>"item_"&amp;CONTROL[[#This Row],[VEHIDCODE]]</f>
        <v>item_diesel_Jenbacher_Werke_2060</v>
      </c>
      <c r="P187" s="26" t="str">
        <f>"str_"&amp;CONTROL[[#This Row],[VEHIDCODE]]</f>
        <v>str_diesel_Jenbacher_Werke_2060</v>
      </c>
      <c r="Q187" s="8" t="b">
        <f>_xlfn.XLOOKUP(CONTROL[[#This Row],[VEHIDCODE]],PROPERTIES[VEHIDCODE],PROPERTIES[IS_CONCEPT])="IS_CONCEPT"</f>
        <v>0</v>
      </c>
      <c r="R187" s="8" t="b">
        <f>_xlfn.XLOOKUP(CONTROL[[#This Row],[VEHIDCODE]],PROPERTIES[VEHIDCODE],PROPERTIES[EXCLUDE])</f>
        <v>0</v>
      </c>
    </row>
    <row r="188" spans="1:18">
      <c r="A188" s="2" t="s">
        <v>2907</v>
      </c>
      <c r="B188" s="26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7" t="s">
        <v>2050</v>
      </c>
      <c r="G188" t="s">
        <v>1259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6" t="str">
        <f>"item_"&amp;CONTROL[[#This Row],[VEHIDCODE]]</f>
        <v>item_diesel_EMD_SW1200</v>
      </c>
      <c r="P188" s="26" t="str">
        <f>"str_"&amp;CONTROL[[#This Row],[VEHIDCODE]]</f>
        <v>str_diesel_EMD_SW1200</v>
      </c>
      <c r="Q188" s="8" t="b">
        <f>_xlfn.XLOOKUP(CONTROL[[#This Row],[VEHIDCODE]],PROPERTIES[VEHIDCODE],PROPERTIES[IS_CONCEPT])="IS_CONCEPT"</f>
        <v>0</v>
      </c>
      <c r="R188" s="8" t="b">
        <f>_xlfn.XLOOKUP(CONTROL[[#This Row],[VEHIDCODE]],PROPERTIES[VEHIDCODE],PROPERTIES[EXCLUDE])</f>
        <v>0</v>
      </c>
    </row>
    <row r="189" spans="1:18">
      <c r="A189" s="2" t="s">
        <v>2908</v>
      </c>
      <c r="B189" s="26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7" t="s">
        <v>2051</v>
      </c>
      <c r="G189" t="s">
        <v>1260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6" t="str">
        <f>"item_"&amp;CONTROL[[#This Row],[VEHIDCODE]]</f>
        <v>item_diesel_EMD_FP9</v>
      </c>
      <c r="P189" s="26" t="str">
        <f>"str_"&amp;CONTROL[[#This Row],[VEHIDCODE]]</f>
        <v>str_diesel_EMD_FP9</v>
      </c>
      <c r="Q189" s="8" t="b">
        <f>_xlfn.XLOOKUP(CONTROL[[#This Row],[VEHIDCODE]],PROPERTIES[VEHIDCODE],PROPERTIES[IS_CONCEPT])="IS_CONCEPT"</f>
        <v>0</v>
      </c>
      <c r="R189" s="8" t="b">
        <f>_xlfn.XLOOKUP(CONTROL[[#This Row],[VEHIDCODE]],PROPERTIES[VEHIDCODE],PROPERTIES[EXCLUDE])</f>
        <v>0</v>
      </c>
    </row>
    <row r="190" spans="1:18">
      <c r="A190" s="2" t="s">
        <v>2909</v>
      </c>
      <c r="B190" s="26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7" t="s">
        <v>2666</v>
      </c>
      <c r="G190" t="s">
        <v>1250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6" t="str">
        <f>"item_"&amp;CONTROL[[#This Row],[VEHIDCODE]]</f>
        <v>item_diesel_Ganz_MAVAG_DVM2_M44</v>
      </c>
      <c r="P190" s="26" t="str">
        <f>"str_"&amp;CONTROL[[#This Row],[VEHIDCODE]]</f>
        <v>str_diesel_Ganz_MAVAG_DVM2_M44</v>
      </c>
      <c r="Q190" s="8" t="b">
        <f>_xlfn.XLOOKUP(CONTROL[[#This Row],[VEHIDCODE]],PROPERTIES[VEHIDCODE],PROPERTIES[IS_CONCEPT])="IS_CONCEPT"</f>
        <v>0</v>
      </c>
      <c r="R190" s="8" t="b">
        <f>_xlfn.XLOOKUP(CONTROL[[#This Row],[VEHIDCODE]],PROPERTIES[VEHIDCODE],PROPERTIES[EXCLUDE])</f>
        <v>0</v>
      </c>
    </row>
    <row r="191" spans="1:18">
      <c r="A191" s="2" t="s">
        <v>3521</v>
      </c>
      <c r="B191" s="26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7" t="s">
        <v>2699</v>
      </c>
      <c r="G191" t="s">
        <v>1261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6" t="str">
        <f>"item_"&amp;CONTROL[[#This Row],[VEHIDCODE]]</f>
        <v>item_diesel_Raba_M_030_M28</v>
      </c>
      <c r="P191" s="26" t="str">
        <f>"str_"&amp;CONTROL[[#This Row],[VEHIDCODE]]</f>
        <v>str_diesel_Raba_M_030_M28</v>
      </c>
      <c r="Q191" s="8" t="b">
        <f>_xlfn.XLOOKUP(CONTROL[[#This Row],[VEHIDCODE]],PROPERTIES[VEHIDCODE],PROPERTIES[IS_CONCEPT])="IS_CONCEPT"</f>
        <v>0</v>
      </c>
      <c r="R191" s="8" t="b">
        <f>_xlfn.XLOOKUP(CONTROL[[#This Row],[VEHIDCODE]],PROPERTIES[VEHIDCODE],PROPERTIES[EXCLUDE])</f>
        <v>0</v>
      </c>
    </row>
    <row r="192" spans="1:18">
      <c r="A192" s="2" t="s">
        <v>3522</v>
      </c>
      <c r="B192" s="26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7" t="s">
        <v>3523</v>
      </c>
      <c r="G192" t="s">
        <v>1262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6" t="str">
        <f>"item_"&amp;CONTROL[[#This Row],[VEHIDCODE]]</f>
        <v>item_diesel_Cockerill_Sambre_HLD_serie_83</v>
      </c>
      <c r="P192" s="26" t="str">
        <f>"str_"&amp;CONTROL[[#This Row],[VEHIDCODE]]</f>
        <v>str_diesel_Cockerill_Sambre_HLD_serie_83</v>
      </c>
      <c r="Q192" s="8" t="b">
        <f>_xlfn.XLOOKUP(CONTROL[[#This Row],[VEHIDCODE]],PROPERTIES[VEHIDCODE],PROPERTIES[IS_CONCEPT])="IS_CONCEPT"</f>
        <v>0</v>
      </c>
      <c r="R192" s="8" t="b">
        <f>_xlfn.XLOOKUP(CONTROL[[#This Row],[VEHIDCODE]],PROPERTIES[VEHIDCODE],PROPERTIES[EXCLUDE])</f>
        <v>0</v>
      </c>
    </row>
    <row r="193" spans="1:18">
      <c r="A193" s="2" t="s">
        <v>2910</v>
      </c>
      <c r="B193" s="26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7" t="s">
        <v>2237</v>
      </c>
      <c r="G193" t="s">
        <v>1263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6" t="str">
        <f>"item_"&amp;CONTROL[[#This Row],[VEHIDCODE]]</f>
        <v>item_diesel_Krauss_Maffei_V200</v>
      </c>
      <c r="P193" s="26" t="str">
        <f>"str_"&amp;CONTROL[[#This Row],[VEHIDCODE]]</f>
        <v>str_diesel_Krauss_Maffei_V200</v>
      </c>
      <c r="Q193" s="8" t="b">
        <f>_xlfn.XLOOKUP(CONTROL[[#This Row],[VEHIDCODE]],PROPERTIES[VEHIDCODE],PROPERTIES[IS_CONCEPT])="IS_CONCEPT"</f>
        <v>0</v>
      </c>
      <c r="R193" s="8" t="b">
        <f>_xlfn.XLOOKUP(CONTROL[[#This Row],[VEHIDCODE]],PROPERTIES[VEHIDCODE],PROPERTIES[EXCLUDE])</f>
        <v>0</v>
      </c>
    </row>
    <row r="194" spans="1:18">
      <c r="A194" s="2" t="s">
        <v>2911</v>
      </c>
      <c r="B194" s="26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7" t="s">
        <v>2052</v>
      </c>
      <c r="G194" t="s">
        <v>1264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6" t="str">
        <f>"item_"&amp;CONTROL[[#This Row],[VEHIDCODE]]</f>
        <v>item_diesel_EMD_FL9</v>
      </c>
      <c r="P194" s="26" t="str">
        <f>"str_"&amp;CONTROL[[#This Row],[VEHIDCODE]]</f>
        <v>str_diesel_EMD_FL9</v>
      </c>
      <c r="Q194" s="8" t="b">
        <f>_xlfn.XLOOKUP(CONTROL[[#This Row],[VEHIDCODE]],PROPERTIES[VEHIDCODE],PROPERTIES[IS_CONCEPT])="IS_CONCEPT"</f>
        <v>0</v>
      </c>
      <c r="R194" s="8" t="b">
        <f>_xlfn.XLOOKUP(CONTROL[[#This Row],[VEHIDCODE]],PROPERTIES[VEHIDCODE],PROPERTIES[EXCLUDE])</f>
        <v>0</v>
      </c>
    </row>
    <row r="195" spans="1:18">
      <c r="A195" s="2" t="s">
        <v>2912</v>
      </c>
      <c r="B195" s="26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7" t="s">
        <v>2031</v>
      </c>
      <c r="G195" t="s">
        <v>1265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6" t="str">
        <f>"item_"&amp;CONTROL[[#This Row],[VEHIDCODE]]</f>
        <v>item_diesel_CKD_T_435_0</v>
      </c>
      <c r="P195" s="26" t="str">
        <f>"str_"&amp;CONTROL[[#This Row],[VEHIDCODE]]</f>
        <v>str_diesel_CKD_T_435_0</v>
      </c>
      <c r="Q195" s="8" t="b">
        <f>_xlfn.XLOOKUP(CONTROL[[#This Row],[VEHIDCODE]],PROPERTIES[VEHIDCODE],PROPERTIES[IS_CONCEPT])="IS_CONCEPT"</f>
        <v>0</v>
      </c>
      <c r="R195" s="8" t="b">
        <f>_xlfn.XLOOKUP(CONTROL[[#This Row],[VEHIDCODE]],PROPERTIES[VEHIDCODE],PROPERTIES[EXCLUDE])</f>
        <v>0</v>
      </c>
    </row>
    <row r="196" spans="1:18">
      <c r="A196" s="2" t="s">
        <v>2913</v>
      </c>
      <c r="B196" s="26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7" t="s">
        <v>2681</v>
      </c>
      <c r="G196" t="s">
        <v>1266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6" t="str">
        <f>"item_"&amp;CONTROL[[#This Row],[VEHIDCODE]]</f>
        <v>item_diesel_Valmet_Lokomo_Dr12</v>
      </c>
      <c r="P196" s="26" t="str">
        <f>"str_"&amp;CONTROL[[#This Row],[VEHIDCODE]]</f>
        <v>str_diesel_Valmet_Lokomo_Dr12</v>
      </c>
      <c r="Q196" s="8" t="b">
        <f>_xlfn.XLOOKUP(CONTROL[[#This Row],[VEHIDCODE]],PROPERTIES[VEHIDCODE],PROPERTIES[IS_CONCEPT])="IS_CONCEPT"</f>
        <v>0</v>
      </c>
      <c r="R196" s="8" t="b">
        <f>_xlfn.XLOOKUP(CONTROL[[#This Row],[VEHIDCODE]],PROPERTIES[VEHIDCODE],PROPERTIES[EXCLUDE])</f>
        <v>0</v>
      </c>
    </row>
    <row r="197" spans="1:18">
      <c r="A197" s="2" t="s">
        <v>2914</v>
      </c>
      <c r="B197" s="26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7" t="s">
        <v>2053</v>
      </c>
      <c r="G197" t="s">
        <v>1267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6" t="str">
        <f>"item_"&amp;CONTROL[[#This Row],[VEHIDCODE]]</f>
        <v>item_diesel_Electroputre_060_DA</v>
      </c>
      <c r="P197" s="26" t="str">
        <f>"str_"&amp;CONTROL[[#This Row],[VEHIDCODE]]</f>
        <v>str_diesel_Electroputre_060_DA</v>
      </c>
      <c r="Q197" s="8" t="b">
        <f>_xlfn.XLOOKUP(CONTROL[[#This Row],[VEHIDCODE]],PROPERTIES[VEHIDCODE],PROPERTIES[IS_CONCEPT])="IS_CONCEPT"</f>
        <v>0</v>
      </c>
      <c r="R197" s="8" t="b">
        <f>_xlfn.XLOOKUP(CONTROL[[#This Row],[VEHIDCODE]],PROPERTIES[VEHIDCODE],PROPERTIES[EXCLUDE])</f>
        <v>0</v>
      </c>
    </row>
    <row r="198" spans="1:18">
      <c r="A198" s="2" t="s">
        <v>2915</v>
      </c>
      <c r="B198" s="26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7" t="s">
        <v>2054</v>
      </c>
      <c r="G198" t="s">
        <v>1268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6" t="str">
        <f>"item_"&amp;CONTROL[[#This Row],[VEHIDCODE]]</f>
        <v>item_diesel_EMD_GL8</v>
      </c>
      <c r="P198" s="26" t="str">
        <f>"str_"&amp;CONTROL[[#This Row],[VEHIDCODE]]</f>
        <v>str_diesel_EMD_GL8</v>
      </c>
      <c r="Q198" s="8" t="b">
        <f>_xlfn.XLOOKUP(CONTROL[[#This Row],[VEHIDCODE]],PROPERTIES[VEHIDCODE],PROPERTIES[IS_CONCEPT])="IS_CONCEPT"</f>
        <v>0</v>
      </c>
      <c r="R198" s="8" t="b">
        <f>_xlfn.XLOOKUP(CONTROL[[#This Row],[VEHIDCODE]],PROPERTIES[VEHIDCODE],PROPERTIES[EXCLUDE])</f>
        <v>0</v>
      </c>
    </row>
    <row r="199" spans="1:18">
      <c r="A199" s="2" t="s">
        <v>2916</v>
      </c>
      <c r="B199" s="26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7" t="s">
        <v>2079</v>
      </c>
      <c r="G199" t="s">
        <v>1269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6" t="str">
        <f>"item_"&amp;CONTROL[[#This Row],[VEHIDCODE]]</f>
        <v>item_diesel_Krauss_Maffei_ML_4000</v>
      </c>
      <c r="P199" s="26" t="str">
        <f>"str_"&amp;CONTROL[[#This Row],[VEHIDCODE]]</f>
        <v>str_diesel_Krauss_Maffei_ML_4000</v>
      </c>
      <c r="Q199" s="8" t="b">
        <f>_xlfn.XLOOKUP(CONTROL[[#This Row],[VEHIDCODE]],PROPERTIES[VEHIDCODE],PROPERTIES[IS_CONCEPT])="IS_CONCEPT"</f>
        <v>0</v>
      </c>
      <c r="R199" s="8" t="b">
        <f>_xlfn.XLOOKUP(CONTROL[[#This Row],[VEHIDCODE]],PROPERTIES[VEHIDCODE],PROPERTIES[EXCLUDE])</f>
        <v>0</v>
      </c>
    </row>
    <row r="200" spans="1:18">
      <c r="A200" s="2" t="s">
        <v>2917</v>
      </c>
      <c r="B200" s="26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7" t="s">
        <v>2055</v>
      </c>
      <c r="G200" t="s">
        <v>1270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6" t="str">
        <f>"item_"&amp;CONTROL[[#This Row],[VEHIDCODE]]</f>
        <v>item_diesel_Kolomna_TEP60</v>
      </c>
      <c r="P200" s="26" t="str">
        <f>"str_"&amp;CONTROL[[#This Row],[VEHIDCODE]]</f>
        <v>str_diesel_Kolomna_TEP60</v>
      </c>
      <c r="Q200" s="8" t="b">
        <f>_xlfn.XLOOKUP(CONTROL[[#This Row],[VEHIDCODE]],PROPERTIES[VEHIDCODE],PROPERTIES[IS_CONCEPT])="IS_CONCEPT"</f>
        <v>0</v>
      </c>
      <c r="R200" s="8" t="b">
        <f>_xlfn.XLOOKUP(CONTROL[[#This Row],[VEHIDCODE]],PROPERTIES[VEHIDCODE],PROPERTIES[EXCLUDE])</f>
        <v>0</v>
      </c>
    </row>
    <row r="201" spans="1:18">
      <c r="A201" s="2" t="s">
        <v>2918</v>
      </c>
      <c r="B201" s="26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7" t="s">
        <v>2238</v>
      </c>
      <c r="G201" t="s">
        <v>1271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6" t="str">
        <f>"item_"&amp;CONTROL[[#This Row],[VEHIDCODE]]</f>
        <v>item_diesel_BN_ACEC_62</v>
      </c>
      <c r="P201" s="26" t="str">
        <f>"str_"&amp;CONTROL[[#This Row],[VEHIDCODE]]</f>
        <v>str_diesel_BN_ACEC_62</v>
      </c>
      <c r="Q201" s="8" t="b">
        <f>_xlfn.XLOOKUP(CONTROL[[#This Row],[VEHIDCODE]],PROPERTIES[VEHIDCODE],PROPERTIES[IS_CONCEPT])="IS_CONCEPT"</f>
        <v>0</v>
      </c>
      <c r="R201" s="8" t="b">
        <f>_xlfn.XLOOKUP(CONTROL[[#This Row],[VEHIDCODE]],PROPERTIES[VEHIDCODE],PROPERTIES[EXCLUDE])</f>
        <v>0</v>
      </c>
    </row>
    <row r="202" spans="1:18">
      <c r="A202" s="2" t="s">
        <v>2919</v>
      </c>
      <c r="B202" s="26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7" t="s">
        <v>2056</v>
      </c>
      <c r="G202" t="s">
        <v>1272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6" t="str">
        <f>"item_"&amp;CONTROL[[#This Row],[VEHIDCODE]]</f>
        <v>item_diesel_MaK_100</v>
      </c>
      <c r="P202" s="26" t="str">
        <f>"str_"&amp;CONTROL[[#This Row],[VEHIDCODE]]</f>
        <v>str_diesel_MaK_100</v>
      </c>
      <c r="Q202" s="8" t="b">
        <f>_xlfn.XLOOKUP(CONTROL[[#This Row],[VEHIDCODE]],PROPERTIES[VEHIDCODE],PROPERTIES[IS_CONCEPT])="IS_CONCEPT"</f>
        <v>0</v>
      </c>
      <c r="R202" s="8" t="b">
        <f>_xlfn.XLOOKUP(CONTROL[[#This Row],[VEHIDCODE]],PROPERTIES[VEHIDCODE],PROPERTIES[EXCLUDE])</f>
        <v>0</v>
      </c>
    </row>
    <row r="203" spans="1:18">
      <c r="A203" s="2" t="s">
        <v>2920</v>
      </c>
      <c r="B203" s="26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7" t="s">
        <v>2239</v>
      </c>
      <c r="G203" t="s">
        <v>1273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6" t="str">
        <f>"item_"&amp;CONTROL[[#This Row],[VEHIDCODE]]</f>
        <v>item_diesel_ALCO_DL560C_WDM_2</v>
      </c>
      <c r="P203" s="26" t="str">
        <f>"str_"&amp;CONTROL[[#This Row],[VEHIDCODE]]</f>
        <v>str_diesel_ALCO_DL560C_WDM_2</v>
      </c>
      <c r="Q203" s="8" t="b">
        <f>_xlfn.XLOOKUP(CONTROL[[#This Row],[VEHIDCODE]],PROPERTIES[VEHIDCODE],PROPERTIES[IS_CONCEPT])="IS_CONCEPT"</f>
        <v>0</v>
      </c>
      <c r="R203" s="8" t="b">
        <f>_xlfn.XLOOKUP(CONTROL[[#This Row],[VEHIDCODE]],PROPERTIES[VEHIDCODE],PROPERTIES[EXCLUDE])</f>
        <v>0</v>
      </c>
    </row>
    <row r="204" spans="1:18">
      <c r="A204" s="2" t="s">
        <v>2921</v>
      </c>
      <c r="B204" s="26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7" t="s">
        <v>2240</v>
      </c>
      <c r="G204" t="s">
        <v>1274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6" t="str">
        <f>"item_"&amp;CONTROL[[#This Row],[VEHIDCODE]]</f>
        <v>item_diesel_BR_14_0_6_0DH</v>
      </c>
      <c r="P204" s="26" t="str">
        <f>"str_"&amp;CONTROL[[#This Row],[VEHIDCODE]]</f>
        <v>str_diesel_BR_14_0_6_0DH</v>
      </c>
      <c r="Q204" s="8" t="b">
        <f>_xlfn.XLOOKUP(CONTROL[[#This Row],[VEHIDCODE]],PROPERTIES[VEHIDCODE],PROPERTIES[IS_CONCEPT])="IS_CONCEPT"</f>
        <v>0</v>
      </c>
      <c r="R204" s="8" t="b">
        <f>_xlfn.XLOOKUP(CONTROL[[#This Row],[VEHIDCODE]],PROPERTIES[VEHIDCODE],PROPERTIES[EXCLUDE])</f>
        <v>0</v>
      </c>
    </row>
    <row r="205" spans="1:18">
      <c r="A205" s="2" t="s">
        <v>2922</v>
      </c>
      <c r="B205" s="26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7" t="s">
        <v>2246</v>
      </c>
      <c r="G205" t="s">
        <v>1275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6" t="str">
        <f>"item_"&amp;CONTROL[[#This Row],[VEHIDCODE]]</f>
        <v>item_diesel_CKD_T_669</v>
      </c>
      <c r="P205" s="26" t="str">
        <f>"str_"&amp;CONTROL[[#This Row],[VEHIDCODE]]</f>
        <v>str_diesel_CKD_T_669</v>
      </c>
      <c r="Q205" s="8" t="b">
        <f>_xlfn.XLOOKUP(CONTROL[[#This Row],[VEHIDCODE]],PROPERTIES[VEHIDCODE],PROPERTIES[IS_CONCEPT])="IS_CONCEPT"</f>
        <v>0</v>
      </c>
      <c r="R205" s="8" t="b">
        <f>_xlfn.XLOOKUP(CONTROL[[#This Row],[VEHIDCODE]],PROPERTIES[VEHIDCODE],PROPERTIES[EXCLUDE])</f>
        <v>0</v>
      </c>
    </row>
    <row r="206" spans="1:18">
      <c r="A206" s="2" t="s">
        <v>2923</v>
      </c>
      <c r="B206" s="26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7" t="s">
        <v>1779</v>
      </c>
      <c r="G206" t="s">
        <v>1276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6" t="str">
        <f>"item_"&amp;CONTROL[[#This Row],[VEHIDCODE]]</f>
        <v>item_diesel_UGOFE_GM_EMD_J16CW_AC</v>
      </c>
      <c r="P206" s="26" t="str">
        <f>"str_"&amp;CONTROL[[#This Row],[VEHIDCODE]]</f>
        <v>str_diesel_UGOFE_GM_EMD_J16CW_AC</v>
      </c>
      <c r="Q206" s="8" t="b">
        <f>_xlfn.XLOOKUP(CONTROL[[#This Row],[VEHIDCODE]],PROPERTIES[VEHIDCODE],PROPERTIES[IS_CONCEPT])="IS_CONCEPT"</f>
        <v>0</v>
      </c>
      <c r="R206" s="8" t="b">
        <f>_xlfn.XLOOKUP(CONTROL[[#This Row],[VEHIDCODE]],PROPERTIES[VEHIDCODE],PROPERTIES[EXCLUDE])</f>
        <v>0</v>
      </c>
    </row>
    <row r="207" spans="1:18">
      <c r="A207" s="2" t="s">
        <v>2924</v>
      </c>
      <c r="B207" s="26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7" t="s">
        <v>2057</v>
      </c>
      <c r="G207" t="s">
        <v>1277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6" t="str">
        <f>"item_"&amp;CONTROL[[#This Row],[VEHIDCODE]]</f>
        <v>item_diesel_LTZ_M62</v>
      </c>
      <c r="P207" s="26" t="str">
        <f>"str_"&amp;CONTROL[[#This Row],[VEHIDCODE]]</f>
        <v>str_diesel_LTZ_M62</v>
      </c>
      <c r="Q207" s="8" t="b">
        <f>_xlfn.XLOOKUP(CONTROL[[#This Row],[VEHIDCODE]],PROPERTIES[VEHIDCODE],PROPERTIES[IS_CONCEPT])="IS_CONCEPT"</f>
        <v>0</v>
      </c>
      <c r="R207" s="8" t="b">
        <f>_xlfn.XLOOKUP(CONTROL[[#This Row],[VEHIDCODE]],PROPERTIES[VEHIDCODE],PROPERTIES[EXCLUDE])</f>
        <v>0</v>
      </c>
    </row>
    <row r="208" spans="1:18">
      <c r="A208" s="2" t="s">
        <v>2925</v>
      </c>
      <c r="B208" s="26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7" t="s">
        <v>2686</v>
      </c>
      <c r="G208" t="s">
        <v>1278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6" t="str">
        <f>"item_"&amp;CONTROL[[#This Row],[VEHIDCODE]]</f>
        <v>item_diesel_EMD_Clyde_J26C</v>
      </c>
      <c r="P208" s="26" t="str">
        <f>"str_"&amp;CONTROL[[#This Row],[VEHIDCODE]]</f>
        <v>str_diesel_EMD_Clyde_J26C</v>
      </c>
      <c r="Q208" s="8" t="b">
        <f>_xlfn.XLOOKUP(CONTROL[[#This Row],[VEHIDCODE]],PROPERTIES[VEHIDCODE],PROPERTIES[IS_CONCEPT])="IS_CONCEPT"</f>
        <v>0</v>
      </c>
      <c r="R208" s="8" t="b">
        <f>_xlfn.XLOOKUP(CONTROL[[#This Row],[VEHIDCODE]],PROPERTIES[VEHIDCODE],PROPERTIES[EXCLUDE])</f>
        <v>0</v>
      </c>
    </row>
    <row r="209" spans="1:18">
      <c r="A209" s="2" t="s">
        <v>2926</v>
      </c>
      <c r="B209" s="26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7" t="s">
        <v>3602</v>
      </c>
      <c r="G209" t="s">
        <v>1279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6" t="str">
        <f>"item_"&amp;CONTROL[[#This Row],[VEHIDCODE]]</f>
        <v>item_diesel_GE_G22W</v>
      </c>
      <c r="P209" s="26" t="str">
        <f>"str_"&amp;CONTROL[[#This Row],[VEHIDCODE]]</f>
        <v>str_diesel_GE_G22W</v>
      </c>
      <c r="Q209" s="8" t="b">
        <f>_xlfn.XLOOKUP(CONTROL[[#This Row],[VEHIDCODE]],PROPERTIES[VEHIDCODE],PROPERTIES[IS_CONCEPT])="IS_CONCEPT"</f>
        <v>0</v>
      </c>
      <c r="R209" s="8" t="b">
        <f>_xlfn.XLOOKUP(CONTROL[[#This Row],[VEHIDCODE]],PROPERTIES[VEHIDCODE],PROPERTIES[EXCLUDE])</f>
        <v>0</v>
      </c>
    </row>
    <row r="210" spans="1:18">
      <c r="A210" s="2" t="s">
        <v>2927</v>
      </c>
      <c r="B210" s="26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7" t="s">
        <v>2058</v>
      </c>
      <c r="G210" t="s">
        <v>1280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6" t="str">
        <f>"item_"&amp;CONTROL[[#This Row],[VEHIDCODE]]</f>
        <v>item_diesel_EMD_DDA40X</v>
      </c>
      <c r="P210" s="26" t="str">
        <f>"str_"&amp;CONTROL[[#This Row],[VEHIDCODE]]</f>
        <v>str_diesel_EMD_DDA40X</v>
      </c>
      <c r="Q210" s="8" t="b">
        <f>_xlfn.XLOOKUP(CONTROL[[#This Row],[VEHIDCODE]],PROPERTIES[VEHIDCODE],PROPERTIES[IS_CONCEPT])="IS_CONCEPT"</f>
        <v>0</v>
      </c>
      <c r="R210" s="8" t="b">
        <f>_xlfn.XLOOKUP(CONTROL[[#This Row],[VEHIDCODE]],PROPERTIES[VEHIDCODE],PROPERTIES[EXCLUDE])</f>
        <v>0</v>
      </c>
    </row>
    <row r="211" spans="1:18">
      <c r="A211" s="2" t="s">
        <v>2928</v>
      </c>
      <c r="B211" s="26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7" t="s">
        <v>2685</v>
      </c>
      <c r="G211" t="s">
        <v>1281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6" t="str">
        <f>"item_"&amp;CONTROL[[#This Row],[VEHIDCODE]]</f>
        <v>item_diesel_EMD_Clyde_GL26C</v>
      </c>
      <c r="P211" s="26" t="str">
        <f>"str_"&amp;CONTROL[[#This Row],[VEHIDCODE]]</f>
        <v>str_diesel_EMD_Clyde_GL26C</v>
      </c>
      <c r="Q211" s="8" t="b">
        <f>_xlfn.XLOOKUP(CONTROL[[#This Row],[VEHIDCODE]],PROPERTIES[VEHIDCODE],PROPERTIES[IS_CONCEPT])="IS_CONCEPT"</f>
        <v>0</v>
      </c>
      <c r="R211" s="8" t="b">
        <f>_xlfn.XLOOKUP(CONTROL[[#This Row],[VEHIDCODE]],PROPERTIES[VEHIDCODE],PROPERTIES[EXCLUDE])</f>
        <v>0</v>
      </c>
    </row>
    <row r="212" spans="1:18">
      <c r="A212" s="2" t="s">
        <v>2929</v>
      </c>
      <c r="B212" s="26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7" t="s">
        <v>2059</v>
      </c>
      <c r="G212" t="s">
        <v>1282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6" t="str">
        <f>"item_"&amp;CONTROL[[#This Row],[VEHIDCODE]]</f>
        <v>item_diesel_EMD_G26</v>
      </c>
      <c r="P212" s="26" t="str">
        <f>"str_"&amp;CONTROL[[#This Row],[VEHIDCODE]]</f>
        <v>str_diesel_EMD_G26</v>
      </c>
      <c r="Q212" s="8" t="b">
        <f>_xlfn.XLOOKUP(CONTROL[[#This Row],[VEHIDCODE]],PROPERTIES[VEHIDCODE],PROPERTIES[IS_CONCEPT])="IS_CONCEPT"</f>
        <v>0</v>
      </c>
      <c r="R212" s="8" t="b">
        <f>_xlfn.XLOOKUP(CONTROL[[#This Row],[VEHIDCODE]],PROPERTIES[VEHIDCODE],PROPERTIES[EXCLUDE])</f>
        <v>0</v>
      </c>
    </row>
    <row r="213" spans="1:18">
      <c r="A213" s="2" t="s">
        <v>2930</v>
      </c>
      <c r="B213" s="26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7" t="s">
        <v>2241</v>
      </c>
      <c r="G213" t="s">
        <v>1283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6" t="str">
        <f>"item_"&amp;CONTROL[[#This Row],[VEHIDCODE]]</f>
        <v>item_diesel_Henschel_TGOJ_V4</v>
      </c>
      <c r="P213" s="26" t="str">
        <f>"str_"&amp;CONTROL[[#This Row],[VEHIDCODE]]</f>
        <v>str_diesel_Henschel_TGOJ_V4</v>
      </c>
      <c r="Q213" s="8" t="b">
        <f>_xlfn.XLOOKUP(CONTROL[[#This Row],[VEHIDCODE]],PROPERTIES[VEHIDCODE],PROPERTIES[IS_CONCEPT])="IS_CONCEPT"</f>
        <v>0</v>
      </c>
      <c r="R213" s="8" t="b">
        <f>_xlfn.XLOOKUP(CONTROL[[#This Row],[VEHIDCODE]],PROPERTIES[VEHIDCODE],PROPERTIES[EXCLUDE])</f>
        <v>0</v>
      </c>
    </row>
    <row r="214" spans="1:18">
      <c r="A214" s="2" t="s">
        <v>2931</v>
      </c>
      <c r="B214" s="26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7" t="s">
        <v>2060</v>
      </c>
      <c r="G214" t="s">
        <v>1284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6" t="str">
        <f>"item_"&amp;CONTROL[[#This Row],[VEHIDCODE]]</f>
        <v>item_diesel_MLW_M420W</v>
      </c>
      <c r="P214" s="26" t="str">
        <f>"str_"&amp;CONTROL[[#This Row],[VEHIDCODE]]</f>
        <v>str_diesel_MLW_M420W</v>
      </c>
      <c r="Q214" s="8" t="b">
        <f>_xlfn.XLOOKUP(CONTROL[[#This Row],[VEHIDCODE]],PROPERTIES[VEHIDCODE],PROPERTIES[IS_CONCEPT])="IS_CONCEPT"</f>
        <v>0</v>
      </c>
      <c r="R214" s="8" t="b">
        <f>_xlfn.XLOOKUP(CONTROL[[#This Row],[VEHIDCODE]],PROPERTIES[VEHIDCODE],PROPERTIES[EXCLUDE])</f>
        <v>0</v>
      </c>
    </row>
    <row r="215" spans="1:18">
      <c r="A215" s="2" t="s">
        <v>2932</v>
      </c>
      <c r="B215" s="26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7" t="s">
        <v>2061</v>
      </c>
      <c r="G215" t="s">
        <v>1285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6" t="str">
        <f>"item_"&amp;CONTROL[[#This Row],[VEHIDCODE]]</f>
        <v>item_diesel_EMD_SDP_40F</v>
      </c>
      <c r="P215" s="26" t="str">
        <f>"str_"&amp;CONTROL[[#This Row],[VEHIDCODE]]</f>
        <v>str_diesel_EMD_SDP_40F</v>
      </c>
      <c r="Q215" s="8" t="b">
        <f>_xlfn.XLOOKUP(CONTROL[[#This Row],[VEHIDCODE]],PROPERTIES[VEHIDCODE],PROPERTIES[IS_CONCEPT])="IS_CONCEPT"</f>
        <v>0</v>
      </c>
      <c r="R215" s="8" t="b">
        <f>_xlfn.XLOOKUP(CONTROL[[#This Row],[VEHIDCODE]],PROPERTIES[VEHIDCODE],PROPERTIES[EXCLUDE])</f>
        <v>0</v>
      </c>
    </row>
    <row r="216" spans="1:18">
      <c r="A216" s="2" t="s">
        <v>2933</v>
      </c>
      <c r="B216" s="26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7" t="s">
        <v>2242</v>
      </c>
      <c r="G216" t="s">
        <v>1286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6" t="str">
        <f>"item_"&amp;CONTROL[[#This Row],[VEHIDCODE]]</f>
        <v>item_diesel_Sifang_DFH3</v>
      </c>
      <c r="P216" s="26" t="str">
        <f>"str_"&amp;CONTROL[[#This Row],[VEHIDCODE]]</f>
        <v>str_diesel_Sifang_DFH3</v>
      </c>
      <c r="Q216" s="8" t="b">
        <f>_xlfn.XLOOKUP(CONTROL[[#This Row],[VEHIDCODE]],PROPERTIES[VEHIDCODE],PROPERTIES[IS_CONCEPT])="IS_CONCEPT"</f>
        <v>0</v>
      </c>
      <c r="R216" s="8" t="b">
        <f>_xlfn.XLOOKUP(CONTROL[[#This Row],[VEHIDCODE]],PROPERTIES[VEHIDCODE],PROPERTIES[EXCLUDE])</f>
        <v>0</v>
      </c>
    </row>
    <row r="217" spans="1:18">
      <c r="A217" s="2" t="s">
        <v>2934</v>
      </c>
      <c r="B217" s="26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7" t="s">
        <v>2087</v>
      </c>
      <c r="G217" t="s">
        <v>1287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6" t="str">
        <f>"item_"&amp;CONTROL[[#This Row],[VEHIDCODE]]</f>
        <v>item_diesel_EMD_F40PH</v>
      </c>
      <c r="P217" s="26" t="str">
        <f>"str_"&amp;CONTROL[[#This Row],[VEHIDCODE]]</f>
        <v>str_diesel_EMD_F40PH</v>
      </c>
      <c r="Q217" s="8" t="b">
        <f>_xlfn.XLOOKUP(CONTROL[[#This Row],[VEHIDCODE]],PROPERTIES[VEHIDCODE],PROPERTIES[IS_CONCEPT])="IS_CONCEPT"</f>
        <v>0</v>
      </c>
      <c r="R217" s="8" t="b">
        <f>_xlfn.XLOOKUP(CONTROL[[#This Row],[VEHIDCODE]],PROPERTIES[VEHIDCODE],PROPERTIES[EXCLUDE])</f>
        <v>0</v>
      </c>
    </row>
    <row r="218" spans="1:18">
      <c r="A218" s="2" t="s">
        <v>2935</v>
      </c>
      <c r="B218" s="26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7" t="s">
        <v>2243</v>
      </c>
      <c r="G218" t="s">
        <v>1288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6" t="str">
        <f>"item_"&amp;CONTROL[[#This Row],[VEHIDCODE]]</f>
        <v>item_diesel_Sorefame_Alsthom_1900</v>
      </c>
      <c r="P218" s="26" t="str">
        <f>"str_"&amp;CONTROL[[#This Row],[VEHIDCODE]]</f>
        <v>str_diesel_Sorefame_Alsthom_1900</v>
      </c>
      <c r="Q218" s="8" t="b">
        <f>_xlfn.XLOOKUP(CONTROL[[#This Row],[VEHIDCODE]],PROPERTIES[VEHIDCODE],PROPERTIES[IS_CONCEPT])="IS_CONCEPT"</f>
        <v>0</v>
      </c>
      <c r="R218" s="8" t="b">
        <f>_xlfn.XLOOKUP(CONTROL[[#This Row],[VEHIDCODE]],PROPERTIES[VEHIDCODE],PROPERTIES[EXCLUDE])</f>
        <v>0</v>
      </c>
    </row>
    <row r="219" spans="1:18">
      <c r="A219" s="2" t="s">
        <v>2936</v>
      </c>
      <c r="B219" s="26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7" t="s">
        <v>2244</v>
      </c>
      <c r="G219" t="s">
        <v>1289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6" t="str">
        <f>"item_"&amp;CONTROL[[#This Row],[VEHIDCODE]]</f>
        <v>item_diesel_Valmet_Oy_Dr16</v>
      </c>
      <c r="P219" s="26" t="str">
        <f>"str_"&amp;CONTROL[[#This Row],[VEHIDCODE]]</f>
        <v>str_diesel_Valmet_Oy_Dr16</v>
      </c>
      <c r="Q219" s="8" t="b">
        <f>_xlfn.XLOOKUP(CONTROL[[#This Row],[VEHIDCODE]],PROPERTIES[VEHIDCODE],PROPERTIES[IS_CONCEPT])="IS_CONCEPT"</f>
        <v>0</v>
      </c>
      <c r="R219" s="8" t="b">
        <f>_xlfn.XLOOKUP(CONTROL[[#This Row],[VEHIDCODE]],PROPERTIES[VEHIDCODE],PROPERTIES[EXCLUDE])</f>
        <v>0</v>
      </c>
    </row>
    <row r="220" spans="1:18">
      <c r="A220" s="2" t="s">
        <v>2937</v>
      </c>
      <c r="B220" s="26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7" t="s">
        <v>3590</v>
      </c>
      <c r="G220" t="s">
        <v>1290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6" t="str">
        <f>"item_"&amp;CONTROL[[#This Row],[VEHIDCODE]]</f>
        <v>item_diesel_Kolomena_TEP80</v>
      </c>
      <c r="P220" s="26" t="str">
        <f>"str_"&amp;CONTROL[[#This Row],[VEHIDCODE]]</f>
        <v>str_diesel_Kolomena_TEP80</v>
      </c>
      <c r="Q220" s="8" t="b">
        <f>_xlfn.XLOOKUP(CONTROL[[#This Row],[VEHIDCODE]],PROPERTIES[VEHIDCODE],PROPERTIES[IS_CONCEPT])="IS_CONCEPT"</f>
        <v>0</v>
      </c>
      <c r="R220" s="8" t="b">
        <f>_xlfn.XLOOKUP(CONTROL[[#This Row],[VEHIDCODE]],PROPERTIES[VEHIDCODE],PROPERTIES[EXCLUDE])</f>
        <v>0</v>
      </c>
    </row>
    <row r="221" spans="1:18">
      <c r="A221" s="2" t="s">
        <v>2938</v>
      </c>
      <c r="B221" s="26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7" t="s">
        <v>2687</v>
      </c>
      <c r="G221" t="s">
        <v>1291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6" t="str">
        <f>"item_"&amp;CONTROL[[#This Row],[VEHIDCODE]]</f>
        <v>item_diesel_EMD_Clyde_JT46C</v>
      </c>
      <c r="P221" s="26" t="str">
        <f>"str_"&amp;CONTROL[[#This Row],[VEHIDCODE]]</f>
        <v>str_diesel_EMD_Clyde_JT46C</v>
      </c>
      <c r="Q221" s="8" t="b">
        <f>_xlfn.XLOOKUP(CONTROL[[#This Row],[VEHIDCODE]],PROPERTIES[VEHIDCODE],PROPERTIES[IS_CONCEPT])="IS_CONCEPT"</f>
        <v>0</v>
      </c>
      <c r="R221" s="8" t="b">
        <f>_xlfn.XLOOKUP(CONTROL[[#This Row],[VEHIDCODE]],PROPERTIES[VEHIDCODE],PROPERTIES[EXCLUDE])</f>
        <v>0</v>
      </c>
    </row>
    <row r="222" spans="1:18">
      <c r="A222" s="2" t="s">
        <v>2939</v>
      </c>
      <c r="B222" s="26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7" t="s">
        <v>2062</v>
      </c>
      <c r="G222" t="s">
        <v>1292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6" t="str">
        <f>"item_"&amp;CONTROL[[#This Row],[VEHIDCODE]]</f>
        <v>item_diesel_GE_P42DC_Genesis</v>
      </c>
      <c r="P222" s="26" t="str">
        <f>"str_"&amp;CONTROL[[#This Row],[VEHIDCODE]]</f>
        <v>str_diesel_GE_P42DC_Genesis</v>
      </c>
      <c r="Q222" s="8" t="b">
        <f>_xlfn.XLOOKUP(CONTROL[[#This Row],[VEHIDCODE]],PROPERTIES[VEHIDCODE],PROPERTIES[IS_CONCEPT])="IS_CONCEPT"</f>
        <v>0</v>
      </c>
      <c r="R222" s="8" t="b">
        <f>_xlfn.XLOOKUP(CONTROL[[#This Row],[VEHIDCODE]],PROPERTIES[VEHIDCODE],PROPERTIES[EXCLUDE])</f>
        <v>0</v>
      </c>
    </row>
    <row r="223" spans="1:18">
      <c r="A223" s="2" t="s">
        <v>2940</v>
      </c>
      <c r="B223" s="26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7" t="s">
        <v>2245</v>
      </c>
      <c r="G223" t="s">
        <v>1293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6" t="str">
        <f>"item_"&amp;CONTROL[[#This Row],[VEHIDCODE]]</f>
        <v>item_diesel_Tulomsas_TCDD_DH7000</v>
      </c>
      <c r="P223" s="26" t="str">
        <f>"str_"&amp;CONTROL[[#This Row],[VEHIDCODE]]</f>
        <v>str_diesel_Tulomsas_TCDD_DH7000</v>
      </c>
      <c r="Q223" s="8" t="b">
        <f>_xlfn.XLOOKUP(CONTROL[[#This Row],[VEHIDCODE]],PROPERTIES[VEHIDCODE],PROPERTIES[IS_CONCEPT])="IS_CONCEPT"</f>
        <v>0</v>
      </c>
      <c r="R223" s="8" t="b">
        <f>_xlfn.XLOOKUP(CONTROL[[#This Row],[VEHIDCODE]],PROPERTIES[VEHIDCODE],PROPERTIES[EXCLUDE])</f>
        <v>0</v>
      </c>
    </row>
    <row r="224" spans="1:18">
      <c r="A224" s="2" t="s">
        <v>2941</v>
      </c>
      <c r="B224" s="26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7" t="s">
        <v>2081</v>
      </c>
      <c r="G224" t="s">
        <v>1705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6" t="str">
        <f>"item_"&amp;CONTROL[[#This Row],[VEHIDCODE]]</f>
        <v>item_diesel_GE_U20C</v>
      </c>
      <c r="P224" s="26" t="str">
        <f>"str_"&amp;CONTROL[[#This Row],[VEHIDCODE]]</f>
        <v>str_diesel_GE_U20C</v>
      </c>
      <c r="Q224" s="8" t="b">
        <f>_xlfn.XLOOKUP(CONTROL[[#This Row],[VEHIDCODE]],PROPERTIES[VEHIDCODE],PROPERTIES[IS_CONCEPT])="IS_CONCEPT"</f>
        <v>0</v>
      </c>
      <c r="R224" s="8" t="b">
        <f>_xlfn.XLOOKUP(CONTROL[[#This Row],[VEHIDCODE]],PROPERTIES[VEHIDCODE],PROPERTIES[EXCLUDE])</f>
        <v>0</v>
      </c>
    </row>
    <row r="225" spans="1:18">
      <c r="A225" s="2" t="s">
        <v>3524</v>
      </c>
      <c r="B225" s="26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7" t="s">
        <v>3525</v>
      </c>
      <c r="G225" t="s">
        <v>1294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6" t="str">
        <f>"item_"&amp;CONTROL[[#This Row],[VEHIDCODE]]</f>
        <v>item_diesel_Vossloh_Siemens_serie_77_78</v>
      </c>
      <c r="P225" s="26" t="str">
        <f>"str_"&amp;CONTROL[[#This Row],[VEHIDCODE]]</f>
        <v>str_diesel_Vossloh_Siemens_serie_77_78</v>
      </c>
      <c r="Q225" s="8" t="b">
        <f>_xlfn.XLOOKUP(CONTROL[[#This Row],[VEHIDCODE]],PROPERTIES[VEHIDCODE],PROPERTIES[IS_CONCEPT])="IS_CONCEPT"</f>
        <v>0</v>
      </c>
      <c r="R225" s="8" t="b">
        <f>_xlfn.XLOOKUP(CONTROL[[#This Row],[VEHIDCODE]],PROPERTIES[VEHIDCODE],PROPERTIES[EXCLUDE])</f>
        <v>0</v>
      </c>
    </row>
    <row r="226" spans="1:18">
      <c r="A226" s="2" t="s">
        <v>2942</v>
      </c>
      <c r="B226" s="26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7" t="s">
        <v>2036</v>
      </c>
      <c r="G226" t="s">
        <v>1295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6" t="str">
        <f>"item_"&amp;CONTROL[[#This Row],[VEHIDCODE]]</f>
        <v>item_diesel_EMD_JT42CWRM</v>
      </c>
      <c r="P226" s="26" t="str">
        <f>"str_"&amp;CONTROL[[#This Row],[VEHIDCODE]]</f>
        <v>str_diesel_EMD_JT42CWRM</v>
      </c>
      <c r="Q226" s="8" t="b">
        <f>_xlfn.XLOOKUP(CONTROL[[#This Row],[VEHIDCODE]],PROPERTIES[VEHIDCODE],PROPERTIES[IS_CONCEPT])="IS_CONCEPT"</f>
        <v>0</v>
      </c>
      <c r="R226" s="8" t="b">
        <f>_xlfn.XLOOKUP(CONTROL[[#This Row],[VEHIDCODE]],PROPERTIES[VEHIDCODE],PROPERTIES[EXCLUDE])</f>
        <v>0</v>
      </c>
    </row>
    <row r="227" spans="1:18">
      <c r="A227" s="2" t="s">
        <v>2943</v>
      </c>
      <c r="B227" s="26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7" t="s">
        <v>2037</v>
      </c>
      <c r="G227" t="s">
        <v>1296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6" t="str">
        <f>"item_"&amp;CONTROL[[#This Row],[VEHIDCODE]]</f>
        <v>item_diesel_EMD_JT42HW_HS</v>
      </c>
      <c r="P227" s="26" t="str">
        <f>"str_"&amp;CONTROL[[#This Row],[VEHIDCODE]]</f>
        <v>str_diesel_EMD_JT42HW_HS</v>
      </c>
      <c r="Q227" s="8" t="b">
        <f>_xlfn.XLOOKUP(CONTROL[[#This Row],[VEHIDCODE]],PROPERTIES[VEHIDCODE],PROPERTIES[IS_CONCEPT])="IS_CONCEPT"</f>
        <v>0</v>
      </c>
      <c r="R227" s="8" t="b">
        <f>_xlfn.XLOOKUP(CONTROL[[#This Row],[VEHIDCODE]],PROPERTIES[VEHIDCODE],PROPERTIES[EXCLUDE])</f>
        <v>0</v>
      </c>
    </row>
    <row r="228" spans="1:18">
      <c r="A228" s="2" t="s">
        <v>2944</v>
      </c>
      <c r="B228" s="26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7" t="s">
        <v>2088</v>
      </c>
      <c r="G228" t="s">
        <v>1297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6" t="str">
        <f>"item_"&amp;CONTROL[[#This Row],[VEHIDCODE]]</f>
        <v>item_diesel_Alstom_DE43CA_Prima</v>
      </c>
      <c r="P228" s="26" t="str">
        <f>"str_"&amp;CONTROL[[#This Row],[VEHIDCODE]]</f>
        <v>str_diesel_Alstom_DE43CA_Prima</v>
      </c>
      <c r="Q228" s="8" t="b">
        <f>_xlfn.XLOOKUP(CONTROL[[#This Row],[VEHIDCODE]],PROPERTIES[VEHIDCODE],PROPERTIES[IS_CONCEPT])="IS_CONCEPT"</f>
        <v>0</v>
      </c>
      <c r="R228" s="8" t="b">
        <f>_xlfn.XLOOKUP(CONTROL[[#This Row],[VEHIDCODE]],PROPERTIES[VEHIDCODE],PROPERTIES[EXCLUDE])</f>
        <v>0</v>
      </c>
    </row>
    <row r="229" spans="1:18">
      <c r="A229" s="2" t="s">
        <v>2945</v>
      </c>
      <c r="B229" s="26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7" t="s">
        <v>2089</v>
      </c>
      <c r="G229" t="s">
        <v>1298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6" t="str">
        <f>"item_"&amp;CONTROL[[#This Row],[VEHIDCODE]]</f>
        <v>item_diesel_LTZ_TEP150</v>
      </c>
      <c r="P229" s="26" t="str">
        <f>"str_"&amp;CONTROL[[#This Row],[VEHIDCODE]]</f>
        <v>str_diesel_LTZ_TEP150</v>
      </c>
      <c r="Q229" s="8" t="b">
        <f>_xlfn.XLOOKUP(CONTROL[[#This Row],[VEHIDCODE]],PROPERTIES[VEHIDCODE],PROPERTIES[IS_CONCEPT])="IS_CONCEPT"</f>
        <v>0</v>
      </c>
      <c r="R229" s="8" t="b">
        <f>_xlfn.XLOOKUP(CONTROL[[#This Row],[VEHIDCODE]],PROPERTIES[VEHIDCODE],PROPERTIES[EXCLUDE])</f>
        <v>0</v>
      </c>
    </row>
    <row r="230" spans="1:18">
      <c r="A230" s="2" t="s">
        <v>2946</v>
      </c>
      <c r="B230" s="26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7" t="s">
        <v>2247</v>
      </c>
      <c r="G230" t="s">
        <v>1299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6" t="str">
        <f>"item_"&amp;CONTROL[[#This Row],[VEHIDCODE]]</f>
        <v>item_diesel_GE_CRRC_Qishuyan_ES59ACi</v>
      </c>
      <c r="P230" s="26" t="str">
        <f>"str_"&amp;CONTROL[[#This Row],[VEHIDCODE]]</f>
        <v>str_diesel_GE_CRRC_Qishuyan_ES59ACi</v>
      </c>
      <c r="Q230" s="8" t="b">
        <f>_xlfn.XLOOKUP(CONTROL[[#This Row],[VEHIDCODE]],PROPERTIES[VEHIDCODE],PROPERTIES[IS_CONCEPT])="IS_CONCEPT"</f>
        <v>0</v>
      </c>
      <c r="R230" s="8" t="b">
        <f>_xlfn.XLOOKUP(CONTROL[[#This Row],[VEHIDCODE]],PROPERTIES[VEHIDCODE],PROPERTIES[EXCLUDE])</f>
        <v>0</v>
      </c>
    </row>
    <row r="231" spans="1:18">
      <c r="A231" s="2" t="s">
        <v>2947</v>
      </c>
      <c r="B231" s="26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7" t="s">
        <v>2090</v>
      </c>
      <c r="G231" t="s">
        <v>1300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6" t="str">
        <f>"item_"&amp;CONTROL[[#This Row],[VEHIDCODE]]</f>
        <v>item_diesel_Voith_Gravita_10_BB</v>
      </c>
      <c r="P231" s="26" t="str">
        <f>"str_"&amp;CONTROL[[#This Row],[VEHIDCODE]]</f>
        <v>str_diesel_Voith_Gravita_10_BB</v>
      </c>
      <c r="Q231" s="8" t="b">
        <f>_xlfn.XLOOKUP(CONTROL[[#This Row],[VEHIDCODE]],PROPERTIES[VEHIDCODE],PROPERTIES[IS_CONCEPT])="IS_CONCEPT"</f>
        <v>0</v>
      </c>
      <c r="R231" s="8" t="b">
        <f>_xlfn.XLOOKUP(CONTROL[[#This Row],[VEHIDCODE]],PROPERTIES[VEHIDCODE],PROPERTIES[EXCLUDE])</f>
        <v>0</v>
      </c>
    </row>
    <row r="232" spans="1:18">
      <c r="A232" s="2" t="s">
        <v>2948</v>
      </c>
      <c r="B232" s="26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7" t="s">
        <v>2248</v>
      </c>
      <c r="G232" t="s">
        <v>1301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6" t="str">
        <f>"item_"&amp;CONTROL[[#This Row],[VEHIDCODE]]</f>
        <v>item_diesel_Voronezh_VNIIZHT_GT1</v>
      </c>
      <c r="P232" s="26" t="str">
        <f>"str_"&amp;CONTROL[[#This Row],[VEHIDCODE]]</f>
        <v>str_diesel_Voronezh_VNIIZHT_GT1</v>
      </c>
      <c r="Q232" s="8" t="b">
        <f>_xlfn.XLOOKUP(CONTROL[[#This Row],[VEHIDCODE]],PROPERTIES[VEHIDCODE],PROPERTIES[IS_CONCEPT])="IS_CONCEPT"</f>
        <v>0</v>
      </c>
      <c r="R232" s="8" t="b">
        <f>_xlfn.XLOOKUP(CONTROL[[#This Row],[VEHIDCODE]],PROPERTIES[VEHIDCODE],PROPERTIES[EXCLUDE])</f>
        <v>0</v>
      </c>
    </row>
    <row r="233" spans="1:18">
      <c r="A233" s="2" t="s">
        <v>2949</v>
      </c>
      <c r="B233" s="26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7" t="s">
        <v>2091</v>
      </c>
      <c r="G233" t="s">
        <v>1303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6" t="str">
        <f>"item_"&amp;CONTROL[[#This Row],[VEHIDCODE]]</f>
        <v>item_diesel_Siemens_ER20_Eurorunner</v>
      </c>
      <c r="P233" s="26" t="str">
        <f>"str_"&amp;CONTROL[[#This Row],[VEHIDCODE]]</f>
        <v>str_diesel_Siemens_ER20_Eurorunner</v>
      </c>
      <c r="Q233" s="8" t="b">
        <f>_xlfn.XLOOKUP(CONTROL[[#This Row],[VEHIDCODE]],PROPERTIES[VEHIDCODE],PROPERTIES[IS_CONCEPT])="IS_CONCEPT"</f>
        <v>0</v>
      </c>
      <c r="R233" s="8" t="b">
        <f>_xlfn.XLOOKUP(CONTROL[[#This Row],[VEHIDCODE]],PROPERTIES[VEHIDCODE],PROPERTIES[EXCLUDE])</f>
        <v>0</v>
      </c>
    </row>
    <row r="234" spans="1:18">
      <c r="A234" s="2" t="s">
        <v>2950</v>
      </c>
      <c r="B234" s="26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7" t="s">
        <v>2092</v>
      </c>
      <c r="G234" t="s">
        <v>1304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6" t="str">
        <f>"item_"&amp;CONTROL[[#This Row],[VEHIDCODE]]</f>
        <v>item_diesel_Voith_Maxima_40_CC</v>
      </c>
      <c r="P234" s="26" t="str">
        <f>"str_"&amp;CONTROL[[#This Row],[VEHIDCODE]]</f>
        <v>str_diesel_Voith_Maxima_40_CC</v>
      </c>
      <c r="Q234" s="8" t="b">
        <f>_xlfn.XLOOKUP(CONTROL[[#This Row],[VEHIDCODE]],PROPERTIES[VEHIDCODE],PROPERTIES[IS_CONCEPT])="IS_CONCEPT"</f>
        <v>0</v>
      </c>
      <c r="R234" s="8" t="b">
        <f>_xlfn.XLOOKUP(CONTROL[[#This Row],[VEHIDCODE]],PROPERTIES[VEHIDCODE],PROPERTIES[EXCLUDE])</f>
        <v>0</v>
      </c>
    </row>
    <row r="235" spans="1:18">
      <c r="A235" s="2" t="s">
        <v>2951</v>
      </c>
      <c r="B235" s="26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7" t="s">
        <v>2249</v>
      </c>
      <c r="G235" t="s">
        <v>2250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6" t="str">
        <f>"item_"&amp;CONTROL[[#This Row],[VEHIDCODE]]</f>
        <v>item_diesel_Hohenzollern_Emch3</v>
      </c>
      <c r="P235" s="26" t="str">
        <f>"str_"&amp;CONTROL[[#This Row],[VEHIDCODE]]</f>
        <v>str_diesel_Hohenzollern_Emch3</v>
      </c>
      <c r="Q235" s="8" t="b">
        <f>_xlfn.XLOOKUP(CONTROL[[#This Row],[VEHIDCODE]],PROPERTIES[VEHIDCODE],PROPERTIES[IS_CONCEPT])="IS_CONCEPT"</f>
        <v>0</v>
      </c>
      <c r="R235" s="8" t="b">
        <f>_xlfn.XLOOKUP(CONTROL[[#This Row],[VEHIDCODE]],PROPERTIES[VEHIDCODE],PROPERTIES[EXCLUDE])</f>
        <v>0</v>
      </c>
    </row>
    <row r="236" spans="1:18">
      <c r="A236" s="2" t="s">
        <v>2952</v>
      </c>
      <c r="B236" s="26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7" t="s">
        <v>2080</v>
      </c>
      <c r="G236" t="s">
        <v>1305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6" t="str">
        <f>"item_"&amp;CONTROL[[#This Row],[VEHIDCODE]]</f>
        <v>item_diesel_Canadian_Locomotive_Company_V_1</v>
      </c>
      <c r="P236" s="26" t="str">
        <f>"str_"&amp;CONTROL[[#This Row],[VEHIDCODE]]</f>
        <v>str_diesel_Canadian_Locomotive_Company_V_1</v>
      </c>
      <c r="Q236" s="8" t="b">
        <f>_xlfn.XLOOKUP(CONTROL[[#This Row],[VEHIDCODE]],PROPERTIES[VEHIDCODE],PROPERTIES[IS_CONCEPT])="IS_CONCEPT"</f>
        <v>0</v>
      </c>
      <c r="R236" s="8" t="b">
        <f>_xlfn.XLOOKUP(CONTROL[[#This Row],[VEHIDCODE]],PROPERTIES[VEHIDCODE],PROPERTIES[EXCLUDE])</f>
        <v>0</v>
      </c>
    </row>
    <row r="237" spans="1:18">
      <c r="A237" s="2" t="s">
        <v>2953</v>
      </c>
      <c r="B237" s="26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7" t="s">
        <v>398</v>
      </c>
      <c r="G237" t="s">
        <v>1306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6" t="str">
        <f>"item_"&amp;CONTROL[[#This Row],[VEHIDCODE]]</f>
        <v>item_diesel_LMS_7051_Diesel_Shunter</v>
      </c>
      <c r="P237" s="26" t="str">
        <f>"str_"&amp;CONTROL[[#This Row],[VEHIDCODE]]</f>
        <v>str_diesel_LMS_7051_Diesel_Shunter</v>
      </c>
      <c r="Q237" s="8" t="b">
        <f>_xlfn.XLOOKUP(CONTROL[[#This Row],[VEHIDCODE]],PROPERTIES[VEHIDCODE],PROPERTIES[IS_CONCEPT])="IS_CONCEPT"</f>
        <v>0</v>
      </c>
      <c r="R237" s="8" t="b">
        <f>_xlfn.XLOOKUP(CONTROL[[#This Row],[VEHIDCODE]],PROPERTIES[VEHIDCODE],PROPERTIES[EXCLUDE])</f>
        <v>0</v>
      </c>
    </row>
    <row r="238" spans="1:18">
      <c r="A238" s="2" t="s">
        <v>2954</v>
      </c>
      <c r="B238" s="26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7" t="s">
        <v>2063</v>
      </c>
      <c r="G238" t="s">
        <v>1307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6" t="str">
        <f>"item_"&amp;CONTROL[[#This Row],[VEHIDCODE]]</f>
        <v>item_diesel_EMC_TA</v>
      </c>
      <c r="P238" s="26" t="str">
        <f>"str_"&amp;CONTROL[[#This Row],[VEHIDCODE]]</f>
        <v>str_diesel_EMC_TA</v>
      </c>
      <c r="Q238" s="8" t="b">
        <f>_xlfn.XLOOKUP(CONTROL[[#This Row],[VEHIDCODE]],PROPERTIES[VEHIDCODE],PROPERTIES[IS_CONCEPT])="IS_CONCEPT"</f>
        <v>0</v>
      </c>
      <c r="R238" s="8" t="b">
        <f>_xlfn.XLOOKUP(CONTROL[[#This Row],[VEHIDCODE]],PROPERTIES[VEHIDCODE],PROPERTIES[EXCLUDE])</f>
        <v>0</v>
      </c>
    </row>
    <row r="239" spans="1:18">
      <c r="A239" s="2" t="s">
        <v>2955</v>
      </c>
      <c r="B239" s="26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7" t="s">
        <v>2064</v>
      </c>
      <c r="G239" t="s">
        <v>1308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6" t="str">
        <f>"item_"&amp;CONTROL[[#This Row],[VEHIDCODE]]</f>
        <v>item_diesel_Baldwin_VO_660</v>
      </c>
      <c r="P239" s="26" t="str">
        <f>"str_"&amp;CONTROL[[#This Row],[VEHIDCODE]]</f>
        <v>str_diesel_Baldwin_VO_660</v>
      </c>
      <c r="Q239" s="8" t="b">
        <f>_xlfn.XLOOKUP(CONTROL[[#This Row],[VEHIDCODE]],PROPERTIES[VEHIDCODE],PROPERTIES[IS_CONCEPT])="IS_CONCEPT"</f>
        <v>0</v>
      </c>
      <c r="R239" s="8" t="b">
        <f>_xlfn.XLOOKUP(CONTROL[[#This Row],[VEHIDCODE]],PROPERTIES[VEHIDCODE],PROPERTIES[EXCLUDE])</f>
        <v>0</v>
      </c>
    </row>
    <row r="240" spans="1:18">
      <c r="A240" s="2" t="s">
        <v>2956</v>
      </c>
      <c r="B240" s="26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7" t="s">
        <v>2251</v>
      </c>
      <c r="G240" t="s">
        <v>1309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6" t="str">
        <f>"item_"&amp;CONTROL[[#This Row],[VEHIDCODE]]</f>
        <v>item_diesel_LMS_No__7080_D3_7</v>
      </c>
      <c r="P240" s="26" t="str">
        <f>"str_"&amp;CONTROL[[#This Row],[VEHIDCODE]]</f>
        <v>str_diesel_LMS_No__7080_D3_7</v>
      </c>
      <c r="Q240" s="8" t="b">
        <f>_xlfn.XLOOKUP(CONTROL[[#This Row],[VEHIDCODE]],PROPERTIES[VEHIDCODE],PROPERTIES[IS_CONCEPT])="IS_CONCEPT"</f>
        <v>0</v>
      </c>
      <c r="R240" s="8" t="b">
        <f>_xlfn.XLOOKUP(CONTROL[[#This Row],[VEHIDCODE]],PROPERTIES[VEHIDCODE],PROPERTIES[EXCLUDE])</f>
        <v>0</v>
      </c>
    </row>
    <row r="241" spans="1:18">
      <c r="A241" s="2" t="s">
        <v>2957</v>
      </c>
      <c r="B241" s="26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7" t="s">
        <v>399</v>
      </c>
      <c r="G241" t="s">
        <v>1310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6" t="str">
        <f>"item_"&amp;CONTROL[[#This Row],[VEHIDCODE]]</f>
        <v>item_diesel_Queensland_Railways_DL</v>
      </c>
      <c r="P241" s="26" t="str">
        <f>"str_"&amp;CONTROL[[#This Row],[VEHIDCODE]]</f>
        <v>str_diesel_Queensland_Railways_DL</v>
      </c>
      <c r="Q241" s="8" t="b">
        <f>_xlfn.XLOOKUP(CONTROL[[#This Row],[VEHIDCODE]],PROPERTIES[VEHIDCODE],PROPERTIES[IS_CONCEPT])="IS_CONCEPT"</f>
        <v>0</v>
      </c>
      <c r="R241" s="8" t="b">
        <f>_xlfn.XLOOKUP(CONTROL[[#This Row],[VEHIDCODE]],PROPERTIES[VEHIDCODE],PROPERTIES[EXCLUDE])</f>
        <v>0</v>
      </c>
    </row>
    <row r="242" spans="1:18">
      <c r="A242" s="2" t="s">
        <v>2958</v>
      </c>
      <c r="B242" s="26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7" t="s">
        <v>2065</v>
      </c>
      <c r="G242" t="s">
        <v>1311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6" t="str">
        <f>"item_"&amp;CONTROL[[#This Row],[VEHIDCODE]]</f>
        <v>item_diesel_FM_H_10_44</v>
      </c>
      <c r="P242" s="26" t="str">
        <f>"str_"&amp;CONTROL[[#This Row],[VEHIDCODE]]</f>
        <v>str_diesel_FM_H_10_44</v>
      </c>
      <c r="Q242" s="8" t="b">
        <f>_xlfn.XLOOKUP(CONTROL[[#This Row],[VEHIDCODE]],PROPERTIES[VEHIDCODE],PROPERTIES[IS_CONCEPT])="IS_CONCEPT"</f>
        <v>0</v>
      </c>
      <c r="R242" s="8" t="b">
        <f>_xlfn.XLOOKUP(CONTROL[[#This Row],[VEHIDCODE]],PROPERTIES[VEHIDCODE],PROPERTIES[EXCLUDE])</f>
        <v>0</v>
      </c>
    </row>
    <row r="243" spans="1:18">
      <c r="A243" s="2" t="s">
        <v>2959</v>
      </c>
      <c r="B243" s="26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7" t="s">
        <v>2066</v>
      </c>
      <c r="G243" t="s">
        <v>1312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6" t="str">
        <f>"item_"&amp;CONTROL[[#This Row],[VEHIDCODE]]</f>
        <v>item_diesel_Baldwin_DRS6_4_1000</v>
      </c>
      <c r="P243" s="26" t="str">
        <f>"str_"&amp;CONTROL[[#This Row],[VEHIDCODE]]</f>
        <v>str_diesel_Baldwin_DRS6_4_1000</v>
      </c>
      <c r="Q243" s="8" t="b">
        <f>_xlfn.XLOOKUP(CONTROL[[#This Row],[VEHIDCODE]],PROPERTIES[VEHIDCODE],PROPERTIES[IS_CONCEPT])="IS_CONCEPT"</f>
        <v>0</v>
      </c>
      <c r="R243" s="8" t="b">
        <f>_xlfn.XLOOKUP(CONTROL[[#This Row],[VEHIDCODE]],PROPERTIES[VEHIDCODE],PROPERTIES[EXCLUDE])</f>
        <v>0</v>
      </c>
    </row>
    <row r="244" spans="1:18">
      <c r="A244" s="2" t="s">
        <v>2960</v>
      </c>
      <c r="B244" s="26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7" t="s">
        <v>1754</v>
      </c>
      <c r="G244" t="s">
        <v>1313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6" t="str">
        <f>"item_"&amp;CONTROL[[#This Row],[VEHIDCODE]]</f>
        <v>item_diesel_CIE_113</v>
      </c>
      <c r="P244" s="26" t="str">
        <f>"str_"&amp;CONTROL[[#This Row],[VEHIDCODE]]</f>
        <v>str_diesel_CIE_113</v>
      </c>
      <c r="Q244" s="8" t="b">
        <f>_xlfn.XLOOKUP(CONTROL[[#This Row],[VEHIDCODE]],PROPERTIES[VEHIDCODE],PROPERTIES[IS_CONCEPT])="IS_CONCEPT"</f>
        <v>0</v>
      </c>
      <c r="R244" s="8" t="b">
        <f>_xlfn.XLOOKUP(CONTROL[[#This Row],[VEHIDCODE]],PROPERTIES[VEHIDCODE],PROPERTIES[EXCLUDE])</f>
        <v>0</v>
      </c>
    </row>
    <row r="245" spans="1:18">
      <c r="A245" s="2" t="s">
        <v>2961</v>
      </c>
      <c r="B245" s="26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7" t="s">
        <v>2067</v>
      </c>
      <c r="G245" t="s">
        <v>1314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6" t="str">
        <f>"item_"&amp;CONTROL[[#This Row],[VEHIDCODE]]</f>
        <v>item_diesel_Baldwin_AS_616</v>
      </c>
      <c r="P245" s="26" t="str">
        <f>"str_"&amp;CONTROL[[#This Row],[VEHIDCODE]]</f>
        <v>str_diesel_Baldwin_AS_616</v>
      </c>
      <c r="Q245" s="8" t="b">
        <f>_xlfn.XLOOKUP(CONTROL[[#This Row],[VEHIDCODE]],PROPERTIES[VEHIDCODE],PROPERTIES[IS_CONCEPT])="IS_CONCEPT"</f>
        <v>0</v>
      </c>
      <c r="R245" s="8" t="b">
        <f>_xlfn.XLOOKUP(CONTROL[[#This Row],[VEHIDCODE]],PROPERTIES[VEHIDCODE],PROPERTIES[EXCLUDE])</f>
        <v>0</v>
      </c>
    </row>
    <row r="246" spans="1:18">
      <c r="A246" s="2" t="s">
        <v>2962</v>
      </c>
      <c r="B246" s="26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7" t="s">
        <v>2068</v>
      </c>
      <c r="G246" t="s">
        <v>1315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6" t="str">
        <f>"item_"&amp;CONTROL[[#This Row],[VEHIDCODE]]</f>
        <v>item_diesel_FM_H_16_44</v>
      </c>
      <c r="P246" s="26" t="str">
        <f>"str_"&amp;CONTROL[[#This Row],[VEHIDCODE]]</f>
        <v>str_diesel_FM_H_16_44</v>
      </c>
      <c r="Q246" s="8" t="b">
        <f>_xlfn.XLOOKUP(CONTROL[[#This Row],[VEHIDCODE]],PROPERTIES[VEHIDCODE],PROPERTIES[IS_CONCEPT])="IS_CONCEPT"</f>
        <v>0</v>
      </c>
      <c r="R246" s="8" t="b">
        <f>_xlfn.XLOOKUP(CONTROL[[#This Row],[VEHIDCODE]],PROPERTIES[VEHIDCODE],PROPERTIES[EXCLUDE])</f>
        <v>0</v>
      </c>
    </row>
    <row r="247" spans="1:18">
      <c r="A247" s="2" t="s">
        <v>2963</v>
      </c>
      <c r="B247" s="26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7" t="s">
        <v>2252</v>
      </c>
      <c r="G247" t="s">
        <v>1317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6" t="str">
        <f>"item_"&amp;CONTROL[[#This Row],[VEHIDCODE]]</f>
        <v>item_diesel_Islington_Railway_Workshops_SAR_900</v>
      </c>
      <c r="P247" s="26" t="str">
        <f>"str_"&amp;CONTROL[[#This Row],[VEHIDCODE]]</f>
        <v>str_diesel_Islington_Railway_Workshops_SAR_900</v>
      </c>
      <c r="Q247" s="8" t="b">
        <f>_xlfn.XLOOKUP(CONTROL[[#This Row],[VEHIDCODE]],PROPERTIES[VEHIDCODE],PROPERTIES[IS_CONCEPT])="IS_CONCEPT"</f>
        <v>0</v>
      </c>
      <c r="R247" s="8" t="b">
        <f>_xlfn.XLOOKUP(CONTROL[[#This Row],[VEHIDCODE]],PROPERTIES[VEHIDCODE],PROPERTIES[EXCLUDE])</f>
        <v>0</v>
      </c>
    </row>
    <row r="248" spans="1:18">
      <c r="A248" s="2" t="s">
        <v>2964</v>
      </c>
      <c r="B248" s="26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7" t="s">
        <v>3600</v>
      </c>
      <c r="G248" t="s">
        <v>1316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6" t="str">
        <f>"item_"&amp;CONTROL[[#This Row],[VEHIDCODE]]</f>
        <v>item_diesel_EMD_G12_A608_M2</v>
      </c>
      <c r="P248" s="26" t="str">
        <f>"str_"&amp;CONTROL[[#This Row],[VEHIDCODE]]</f>
        <v>str_diesel_EMD_G12_A608_M2</v>
      </c>
      <c r="Q248" s="8" t="b">
        <f>_xlfn.XLOOKUP(CONTROL[[#This Row],[VEHIDCODE]],PROPERTIES[VEHIDCODE],PROPERTIES[IS_CONCEPT])="IS_CONCEPT"</f>
        <v>0</v>
      </c>
      <c r="R248" s="8" t="b">
        <f>_xlfn.XLOOKUP(CONTROL[[#This Row],[VEHIDCODE]],PROPERTIES[VEHIDCODE],PROPERTIES[EXCLUDE])</f>
        <v>0</v>
      </c>
    </row>
    <row r="249" spans="1:18">
      <c r="A249" s="2" t="s">
        <v>2965</v>
      </c>
      <c r="B249" s="26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7" t="s">
        <v>2253</v>
      </c>
      <c r="G249" t="s">
        <v>1318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6" t="str">
        <f>"item_"&amp;CONTROL[[#This Row],[VEHIDCODE]]</f>
        <v>item_diesel_Metropolitan_Vickers_CIE_001</v>
      </c>
      <c r="P249" s="26" t="str">
        <f>"str_"&amp;CONTROL[[#This Row],[VEHIDCODE]]</f>
        <v>str_diesel_Metropolitan_Vickers_CIE_001</v>
      </c>
      <c r="Q249" s="8" t="b">
        <f>_xlfn.XLOOKUP(CONTROL[[#This Row],[VEHIDCODE]],PROPERTIES[VEHIDCODE],PROPERTIES[IS_CONCEPT])="IS_CONCEPT"</f>
        <v>0</v>
      </c>
      <c r="R249" s="8" t="b">
        <f>_xlfn.XLOOKUP(CONTROL[[#This Row],[VEHIDCODE]],PROPERTIES[VEHIDCODE],PROPERTIES[EXCLUDE])</f>
        <v>0</v>
      </c>
    </row>
    <row r="250" spans="1:18">
      <c r="A250" s="2" t="s">
        <v>2966</v>
      </c>
      <c r="B250" s="26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7" t="s">
        <v>2652</v>
      </c>
      <c r="G250" t="s">
        <v>1319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6" t="str">
        <f>"item_"&amp;CONTROL[[#This Row],[VEHIDCODE]]</f>
        <v>item_diesel_Fiat_Grandi_Motori_D_341</v>
      </c>
      <c r="P250" s="26" t="str">
        <f>"str_"&amp;CONTROL[[#This Row],[VEHIDCODE]]</f>
        <v>str_diesel_Fiat_Grandi_Motori_D_341</v>
      </c>
      <c r="Q250" s="8" t="b">
        <f>_xlfn.XLOOKUP(CONTROL[[#This Row],[VEHIDCODE]],PROPERTIES[VEHIDCODE],PROPERTIES[IS_CONCEPT])="IS_CONCEPT"</f>
        <v>0</v>
      </c>
      <c r="R250" s="8" t="b">
        <f>_xlfn.XLOOKUP(CONTROL[[#This Row],[VEHIDCODE]],PROPERTIES[VEHIDCODE],PROPERTIES[EXCLUDE])</f>
        <v>0</v>
      </c>
    </row>
    <row r="251" spans="1:18">
      <c r="A251" s="2" t="s">
        <v>2967</v>
      </c>
      <c r="B251" s="26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7" t="s">
        <v>2688</v>
      </c>
      <c r="G251" t="s">
        <v>1320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6" t="str">
        <f>"item_"&amp;CONTROL[[#This Row],[VEHIDCODE]]</f>
        <v>item_diesel_ALCO_AE_Goodwin_DL_500B</v>
      </c>
      <c r="P251" s="26" t="str">
        <f>"str_"&amp;CONTROL[[#This Row],[VEHIDCODE]]</f>
        <v>str_diesel_ALCO_AE_Goodwin_DL_500B</v>
      </c>
      <c r="Q251" s="8" t="b">
        <f>_xlfn.XLOOKUP(CONTROL[[#This Row],[VEHIDCODE]],PROPERTIES[VEHIDCODE],PROPERTIES[IS_CONCEPT])="IS_CONCEPT"</f>
        <v>0</v>
      </c>
      <c r="R251" s="8" t="b">
        <f>_xlfn.XLOOKUP(CONTROL[[#This Row],[VEHIDCODE]],PROPERTIES[VEHIDCODE],PROPERTIES[EXCLUDE])</f>
        <v>1</v>
      </c>
    </row>
    <row r="252" spans="1:18">
      <c r="A252" s="2" t="s">
        <v>2968</v>
      </c>
      <c r="B252" s="26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7" t="s">
        <v>2689</v>
      </c>
      <c r="G252" t="s">
        <v>1321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6" t="str">
        <f>"item_"&amp;CONTROL[[#This Row],[VEHIDCODE]]</f>
        <v>item_diesel_Henschel_DH_1420</v>
      </c>
      <c r="P252" s="26" t="str">
        <f>"str_"&amp;CONTROL[[#This Row],[VEHIDCODE]]</f>
        <v>str_diesel_Henschel_DH_1420</v>
      </c>
      <c r="Q252" s="8" t="b">
        <f>_xlfn.XLOOKUP(CONTROL[[#This Row],[VEHIDCODE]],PROPERTIES[VEHIDCODE],PROPERTIES[IS_CONCEPT])="IS_CONCEPT"</f>
        <v>0</v>
      </c>
      <c r="R252" s="8" t="b">
        <f>_xlfn.XLOOKUP(CONTROL[[#This Row],[VEHIDCODE]],PROPERTIES[VEHIDCODE],PROPERTIES[EXCLUDE])</f>
        <v>0</v>
      </c>
    </row>
    <row r="253" spans="1:18">
      <c r="A253" s="2" t="s">
        <v>2969</v>
      </c>
      <c r="B253" s="26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7" t="s">
        <v>2069</v>
      </c>
      <c r="G253" t="s">
        <v>1322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6" t="str">
        <f>"item_"&amp;CONTROL[[#This Row],[VEHIDCODE]]</f>
        <v>item_diesel_EMD_SD18</v>
      </c>
      <c r="P253" s="26" t="str">
        <f>"str_"&amp;CONTROL[[#This Row],[VEHIDCODE]]</f>
        <v>str_diesel_EMD_SD18</v>
      </c>
      <c r="Q253" s="8" t="b">
        <f>_xlfn.XLOOKUP(CONTROL[[#This Row],[VEHIDCODE]],PROPERTIES[VEHIDCODE],PROPERTIES[IS_CONCEPT])="IS_CONCEPT"</f>
        <v>0</v>
      </c>
      <c r="R253" s="8" t="b">
        <f>_xlfn.XLOOKUP(CONTROL[[#This Row],[VEHIDCODE]],PROPERTIES[VEHIDCODE],PROPERTIES[EXCLUDE])</f>
        <v>0</v>
      </c>
    </row>
    <row r="254" spans="1:18">
      <c r="A254" s="2" t="s">
        <v>2970</v>
      </c>
      <c r="B254" s="26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7" t="s">
        <v>2653</v>
      </c>
      <c r="G254" t="s">
        <v>1323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6" t="str">
        <f>"item_"&amp;CONTROL[[#This Row],[VEHIDCODE]]</f>
        <v>item_diesel_Fiat_Grandi_Motori_D_345</v>
      </c>
      <c r="P254" s="26" t="str">
        <f>"str_"&amp;CONTROL[[#This Row],[VEHIDCODE]]</f>
        <v>str_diesel_Fiat_Grandi_Motori_D_345</v>
      </c>
      <c r="Q254" s="8" t="b">
        <f>_xlfn.XLOOKUP(CONTROL[[#This Row],[VEHIDCODE]],PROPERTIES[VEHIDCODE],PROPERTIES[IS_CONCEPT])="IS_CONCEPT"</f>
        <v>0</v>
      </c>
      <c r="R254" s="8" t="b">
        <f>_xlfn.XLOOKUP(CONTROL[[#This Row],[VEHIDCODE]],PROPERTIES[VEHIDCODE],PROPERTIES[EXCLUDE])</f>
        <v>0</v>
      </c>
    </row>
    <row r="255" spans="1:18">
      <c r="A255" s="2" t="s">
        <v>2971</v>
      </c>
      <c r="B255" s="26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7" t="s">
        <v>2254</v>
      </c>
      <c r="G255" t="s">
        <v>1324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6" t="str">
        <f>"item_"&amp;CONTROL[[#This Row],[VEHIDCODE]]</f>
        <v>item_diesel_Henschel_Di4</v>
      </c>
      <c r="P255" s="26" t="str">
        <f>"str_"&amp;CONTROL[[#This Row],[VEHIDCODE]]</f>
        <v>str_diesel_Henschel_Di4</v>
      </c>
      <c r="Q255" s="8" t="b">
        <f>_xlfn.XLOOKUP(CONTROL[[#This Row],[VEHIDCODE]],PROPERTIES[VEHIDCODE],PROPERTIES[IS_CONCEPT])="IS_CONCEPT"</f>
        <v>0</v>
      </c>
      <c r="R255" s="8" t="b">
        <f>_xlfn.XLOOKUP(CONTROL[[#This Row],[VEHIDCODE]],PROPERTIES[VEHIDCODE],PROPERTIES[EXCLUDE])</f>
        <v>0</v>
      </c>
    </row>
    <row r="256" spans="1:18">
      <c r="A256" s="2" t="s">
        <v>2972</v>
      </c>
      <c r="B256" s="26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7" t="s">
        <v>2255</v>
      </c>
      <c r="G256" t="s">
        <v>1325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6" t="str">
        <f>"item_"&amp;CONTROL[[#This Row],[VEHIDCODE]]</f>
        <v>item_diesel_Qishuyan_DF8</v>
      </c>
      <c r="P256" s="26" t="str">
        <f>"str_"&amp;CONTROL[[#This Row],[VEHIDCODE]]</f>
        <v>str_diesel_Qishuyan_DF8</v>
      </c>
      <c r="Q256" s="8" t="b">
        <f>_xlfn.XLOOKUP(CONTROL[[#This Row],[VEHIDCODE]],PROPERTIES[VEHIDCODE],PROPERTIES[IS_CONCEPT])="IS_CONCEPT"</f>
        <v>0</v>
      </c>
      <c r="R256" s="8" t="b">
        <f>_xlfn.XLOOKUP(CONTROL[[#This Row],[VEHIDCODE]],PROPERTIES[VEHIDCODE],PROPERTIES[EXCLUDE])</f>
        <v>0</v>
      </c>
    </row>
    <row r="257" spans="1:18">
      <c r="A257" s="2" t="s">
        <v>3533</v>
      </c>
      <c r="B257" s="26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7" t="s">
        <v>3545</v>
      </c>
      <c r="G257" t="s">
        <v>1326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6" t="str">
        <f>"item_"&amp;CONTROL[[#This Row],[VEHIDCODE]]</f>
        <v>item_diesel_EMD_Clyde_JT26C_2SS</v>
      </c>
      <c r="P257" s="26" t="str">
        <f>"str_"&amp;CONTROL[[#This Row],[VEHIDCODE]]</f>
        <v>str_diesel_EMD_Clyde_JT26C_2SS</v>
      </c>
      <c r="Q257" s="8" t="b">
        <f>_xlfn.XLOOKUP(CONTROL[[#This Row],[VEHIDCODE]],PROPERTIES[VEHIDCODE],PROPERTIES[IS_CONCEPT])="IS_CONCEPT"</f>
        <v>0</v>
      </c>
      <c r="R257" s="8" t="b">
        <f>_xlfn.XLOOKUP(CONTROL[[#This Row],[VEHIDCODE]],PROPERTIES[VEHIDCODE],PROPERTIES[EXCLUDE])</f>
        <v>0</v>
      </c>
    </row>
    <row r="258" spans="1:18">
      <c r="A258" s="2" t="s">
        <v>2973</v>
      </c>
      <c r="B258" s="26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7" t="s">
        <v>2256</v>
      </c>
      <c r="G258" t="s">
        <v>1327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6" t="str">
        <f>"item_"&amp;CONTROL[[#This Row],[VEHIDCODE]]</f>
        <v>item_diesel_Brush_Class_60</v>
      </c>
      <c r="P258" s="26" t="str">
        <f>"str_"&amp;CONTROL[[#This Row],[VEHIDCODE]]</f>
        <v>str_diesel_Brush_Class_60</v>
      </c>
      <c r="Q258" s="8" t="b">
        <f>_xlfn.XLOOKUP(CONTROL[[#This Row],[VEHIDCODE]],PROPERTIES[VEHIDCODE],PROPERTIES[IS_CONCEPT])="IS_CONCEPT"</f>
        <v>0</v>
      </c>
      <c r="R258" s="8" t="b">
        <f>_xlfn.XLOOKUP(CONTROL[[#This Row],[VEHIDCODE]],PROPERTIES[VEHIDCODE],PROPERTIES[EXCLUDE])</f>
        <v>0</v>
      </c>
    </row>
    <row r="259" spans="1:18">
      <c r="A259" s="2" t="s">
        <v>2974</v>
      </c>
      <c r="B259" s="26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7" t="s">
        <v>2257</v>
      </c>
      <c r="G259" t="s">
        <v>1328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6" t="str">
        <f>"item_"&amp;CONTROL[[#This Row],[VEHIDCODE]]</f>
        <v>item_diesel_GE_Goninan_CM25_8</v>
      </c>
      <c r="P259" s="26" t="str">
        <f>"str_"&amp;CONTROL[[#This Row],[VEHIDCODE]]</f>
        <v>str_diesel_GE_Goninan_CM25_8</v>
      </c>
      <c r="Q259" s="8" t="b">
        <f>_xlfn.XLOOKUP(CONTROL[[#This Row],[VEHIDCODE]],PROPERTIES[VEHIDCODE],PROPERTIES[IS_CONCEPT])="IS_CONCEPT"</f>
        <v>0</v>
      </c>
      <c r="R259" s="8" t="b">
        <f>_xlfn.XLOOKUP(CONTROL[[#This Row],[VEHIDCODE]],PROPERTIES[VEHIDCODE],PROPERTIES[EXCLUDE])</f>
        <v>0</v>
      </c>
    </row>
    <row r="260" spans="1:18">
      <c r="A260" s="2" t="s">
        <v>2975</v>
      </c>
      <c r="B260" s="26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7" t="s">
        <v>2258</v>
      </c>
      <c r="G260" t="s">
        <v>1329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6" t="str">
        <f>"item_"&amp;CONTROL[[#This Row],[VEHIDCODE]]</f>
        <v>item_diesel_EMD_SD70ACS</v>
      </c>
      <c r="P260" s="26" t="str">
        <f>"str_"&amp;CONTROL[[#This Row],[VEHIDCODE]]</f>
        <v>str_diesel_EMD_SD70ACS</v>
      </c>
      <c r="Q260" s="8" t="b">
        <f>_xlfn.XLOOKUP(CONTROL[[#This Row],[VEHIDCODE]],PROPERTIES[VEHIDCODE],PROPERTIES[IS_CONCEPT])="IS_CONCEPT"</f>
        <v>0</v>
      </c>
      <c r="R260" s="8" t="b">
        <f>_xlfn.XLOOKUP(CONTROL[[#This Row],[VEHIDCODE]],PROPERTIES[VEHIDCODE],PROPERTIES[EXCLUDE])</f>
        <v>1</v>
      </c>
    </row>
    <row r="261" spans="1:18">
      <c r="A261" s="2" t="s">
        <v>2976</v>
      </c>
      <c r="B261" s="26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7" t="s">
        <v>2070</v>
      </c>
      <c r="G261" t="s">
        <v>1330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6" t="str">
        <f>"item_"&amp;CONTROL[[#This Row],[VEHIDCODE]]</f>
        <v>item_diesel_GMD_JT42HCW</v>
      </c>
      <c r="P261" s="26" t="str">
        <f>"str_"&amp;CONTROL[[#This Row],[VEHIDCODE]]</f>
        <v>str_diesel_GMD_JT42HCW</v>
      </c>
      <c r="Q261" s="8" t="b">
        <f>_xlfn.XLOOKUP(CONTROL[[#This Row],[VEHIDCODE]],PROPERTIES[VEHIDCODE],PROPERTIES[IS_CONCEPT])="IS_CONCEPT"</f>
        <v>0</v>
      </c>
      <c r="R261" s="8" t="b">
        <f>_xlfn.XLOOKUP(CONTROL[[#This Row],[VEHIDCODE]],PROPERTIES[VEHIDCODE],PROPERTIES[EXCLUDE])</f>
        <v>0</v>
      </c>
    </row>
    <row r="262" spans="1:18">
      <c r="A262" s="2" t="s">
        <v>2977</v>
      </c>
      <c r="B262" s="26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7" t="s">
        <v>2071</v>
      </c>
      <c r="G262" t="s">
        <v>1331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6" t="str">
        <f>"item_"&amp;CONTROL[[#This Row],[VEHIDCODE]]</f>
        <v>item_diesel_EMD_F59PH</v>
      </c>
      <c r="P262" s="26" t="str">
        <f>"str_"&amp;CONTROL[[#This Row],[VEHIDCODE]]</f>
        <v>str_diesel_EMD_F59PH</v>
      </c>
      <c r="Q262" s="8" t="b">
        <f>_xlfn.XLOOKUP(CONTROL[[#This Row],[VEHIDCODE]],PROPERTIES[VEHIDCODE],PROPERTIES[IS_CONCEPT])="IS_CONCEPT"</f>
        <v>0</v>
      </c>
      <c r="R262" s="8" t="b">
        <f>_xlfn.XLOOKUP(CONTROL[[#This Row],[VEHIDCODE]],PROPERTIES[VEHIDCODE],PROPERTIES[EXCLUDE])</f>
        <v>0</v>
      </c>
    </row>
    <row r="263" spans="1:18">
      <c r="A263" s="2" t="s">
        <v>2978</v>
      </c>
      <c r="B263" s="26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7" t="s">
        <v>3615</v>
      </c>
      <c r="G263" t="s">
        <v>1332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6" t="str">
        <f>"item_"&amp;CONTROL[[#This Row],[VEHIDCODE]]</f>
        <v>item_diesel_MaK___Vossloh_G1206</v>
      </c>
      <c r="P263" s="26" t="str">
        <f>"str_"&amp;CONTROL[[#This Row],[VEHIDCODE]]</f>
        <v>str_diesel_MaK___Vossloh_G1206</v>
      </c>
      <c r="Q263" s="8" t="b">
        <f>_xlfn.XLOOKUP(CONTROL[[#This Row],[VEHIDCODE]],PROPERTIES[VEHIDCODE],PROPERTIES[IS_CONCEPT])="IS_CONCEPT"</f>
        <v>0</v>
      </c>
      <c r="R263" s="8" t="b">
        <f>_xlfn.XLOOKUP(CONTROL[[#This Row],[VEHIDCODE]],PROPERTIES[VEHIDCODE],PROPERTIES[EXCLUDE])</f>
        <v>0</v>
      </c>
    </row>
    <row r="264" spans="1:18">
      <c r="A264" s="2" t="s">
        <v>2979</v>
      </c>
      <c r="B264" s="26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7" t="s">
        <v>2117</v>
      </c>
      <c r="G264" t="s">
        <v>1333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6" t="str">
        <f>"item_"&amp;CONTROL[[#This Row],[VEHIDCODE]]</f>
        <v>item_diesel_Vossloh_G_2000_BB</v>
      </c>
      <c r="P264" s="26" t="str">
        <f>"str_"&amp;CONTROL[[#This Row],[VEHIDCODE]]</f>
        <v>str_diesel_Vossloh_G_2000_BB</v>
      </c>
      <c r="Q264" s="8" t="b">
        <f>_xlfn.XLOOKUP(CONTROL[[#This Row],[VEHIDCODE]],PROPERTIES[VEHIDCODE],PROPERTIES[IS_CONCEPT])="IS_CONCEPT"</f>
        <v>0</v>
      </c>
      <c r="R264" s="8" t="b">
        <f>_xlfn.XLOOKUP(CONTROL[[#This Row],[VEHIDCODE]],PROPERTIES[VEHIDCODE],PROPERTIES[EXCLUDE])</f>
        <v>0</v>
      </c>
    </row>
    <row r="265" spans="1:18">
      <c r="A265" s="2" t="s">
        <v>2980</v>
      </c>
      <c r="B265" s="26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7" t="s">
        <v>2093</v>
      </c>
      <c r="G265" t="s">
        <v>1334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6" t="str">
        <f>"item_"&amp;CONTROL[[#This Row],[VEHIDCODE]]</f>
        <v>item_diesel_MPI_MP40PH_3C</v>
      </c>
      <c r="P265" s="26" t="str">
        <f>"str_"&amp;CONTROL[[#This Row],[VEHIDCODE]]</f>
        <v>str_diesel_MPI_MP40PH_3C</v>
      </c>
      <c r="Q265" s="8" t="b">
        <f>_xlfn.XLOOKUP(CONTROL[[#This Row],[VEHIDCODE]],PROPERTIES[VEHIDCODE],PROPERTIES[IS_CONCEPT])="IS_CONCEPT"</f>
        <v>0</v>
      </c>
      <c r="R265" s="8" t="b">
        <f>_xlfn.XLOOKUP(CONTROL[[#This Row],[VEHIDCODE]],PROPERTIES[VEHIDCODE],PROPERTIES[EXCLUDE])</f>
        <v>0</v>
      </c>
    </row>
    <row r="266" spans="1:18">
      <c r="A266" s="2" t="s">
        <v>3552</v>
      </c>
      <c r="B266" s="26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7" t="s">
        <v>3616</v>
      </c>
      <c r="G266" t="s">
        <v>1335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6" t="str">
        <f>"item_"&amp;CONTROL[[#This Row],[VEHIDCODE]]</f>
        <v>item_diesel_Vossloh_Espana___EMD_334</v>
      </c>
      <c r="P266" s="26" t="str">
        <f>"str_"&amp;CONTROL[[#This Row],[VEHIDCODE]]</f>
        <v>str_diesel_Vossloh_Espana___EMD_334</v>
      </c>
      <c r="Q266" s="8" t="b">
        <f>_xlfn.XLOOKUP(CONTROL[[#This Row],[VEHIDCODE]],PROPERTIES[VEHIDCODE],PROPERTIES[IS_CONCEPT])="IS_CONCEPT"</f>
        <v>0</v>
      </c>
      <c r="R266" s="8" t="b">
        <f>_xlfn.XLOOKUP(CONTROL[[#This Row],[VEHIDCODE]],PROPERTIES[VEHIDCODE],PROPERTIES[EXCLUDE])</f>
        <v>0</v>
      </c>
    </row>
    <row r="267" spans="1:18">
      <c r="A267" s="2" t="s">
        <v>2981</v>
      </c>
      <c r="B267" s="26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7" t="s">
        <v>2462</v>
      </c>
      <c r="G267" t="s">
        <v>1336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6" t="str">
        <f>"item_"&amp;CONTROL[[#This Row],[VEHIDCODE]]</f>
        <v>item_diesel_INKA_CC300</v>
      </c>
      <c r="P267" s="26" t="str">
        <f>"str_"&amp;CONTROL[[#This Row],[VEHIDCODE]]</f>
        <v>str_diesel_INKA_CC300</v>
      </c>
      <c r="Q267" s="8" t="b">
        <f>_xlfn.XLOOKUP(CONTROL[[#This Row],[VEHIDCODE]],PROPERTIES[VEHIDCODE],PROPERTIES[IS_CONCEPT])="IS_CONCEPT"</f>
        <v>0</v>
      </c>
      <c r="R267" s="8" t="b">
        <f>_xlfn.XLOOKUP(CONTROL[[#This Row],[VEHIDCODE]],PROPERTIES[VEHIDCODE],PROPERTIES[EXCLUDE])</f>
        <v>0</v>
      </c>
    </row>
    <row r="268" spans="1:18">
      <c r="A268" s="2" t="s">
        <v>2982</v>
      </c>
      <c r="B268" s="26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7" t="s">
        <v>400</v>
      </c>
      <c r="G268" t="s">
        <v>1235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6" t="str">
        <f>"item_"&amp;CONTROL[[#This Row],[VEHIDCODE]]</f>
        <v>item_diesel_Great_Southern_Railway_DH501</v>
      </c>
      <c r="P268" s="26" t="str">
        <f>"str_"&amp;CONTROL[[#This Row],[VEHIDCODE]]</f>
        <v>str_diesel_Great_Southern_Railway_DH501</v>
      </c>
      <c r="Q268" s="8" t="b">
        <f>_xlfn.XLOOKUP(CONTROL[[#This Row],[VEHIDCODE]],PROPERTIES[VEHIDCODE],PROPERTIES[IS_CONCEPT])="IS_CONCEPT"</f>
        <v>0</v>
      </c>
      <c r="R268" s="8" t="b">
        <f>_xlfn.XLOOKUP(CONTROL[[#This Row],[VEHIDCODE]],PROPERTIES[VEHIDCODE],PROPERTIES[EXCLUDE])</f>
        <v>0</v>
      </c>
    </row>
    <row r="269" spans="1:18">
      <c r="A269" s="2" t="s">
        <v>2983</v>
      </c>
      <c r="B269" s="26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7" t="s">
        <v>401</v>
      </c>
      <c r="G269" t="s">
        <v>1337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6" t="str">
        <f>"item_"&amp;CONTROL[[#This Row],[VEHIDCODE]]</f>
        <v>item_diesel_EE_VFFLB</v>
      </c>
      <c r="P269" s="26" t="str">
        <f>"str_"&amp;CONTROL[[#This Row],[VEHIDCODE]]</f>
        <v>str_diesel_EE_VFFLB</v>
      </c>
      <c r="Q269" s="8" t="b">
        <f>_xlfn.XLOOKUP(CONTROL[[#This Row],[VEHIDCODE]],PROPERTIES[VEHIDCODE],PROPERTIES[IS_CONCEPT])="IS_CONCEPT"</f>
        <v>0</v>
      </c>
      <c r="R269" s="8" t="b">
        <f>_xlfn.XLOOKUP(CONTROL[[#This Row],[VEHIDCODE]],PROPERTIES[VEHIDCODE],PROPERTIES[EXCLUDE])</f>
        <v>0</v>
      </c>
    </row>
    <row r="270" spans="1:18">
      <c r="A270" s="2" t="s">
        <v>2984</v>
      </c>
      <c r="B270" s="26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7" t="s">
        <v>2072</v>
      </c>
      <c r="G270" t="s">
        <v>1338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6" t="str">
        <f>"item_"&amp;CONTROL[[#This Row],[VEHIDCODE]]</f>
        <v>item_diesel_GE_U5B</v>
      </c>
      <c r="P270" s="26" t="str">
        <f>"str_"&amp;CONTROL[[#This Row],[VEHIDCODE]]</f>
        <v>str_diesel_GE_U5B</v>
      </c>
      <c r="Q270" s="8" t="b">
        <f>_xlfn.XLOOKUP(CONTROL[[#This Row],[VEHIDCODE]],PROPERTIES[VEHIDCODE],PROPERTIES[IS_CONCEPT])="IS_CONCEPT"</f>
        <v>0</v>
      </c>
      <c r="R270" s="8" t="b">
        <f>_xlfn.XLOOKUP(CONTROL[[#This Row],[VEHIDCODE]],PROPERTIES[VEHIDCODE],PROPERTIES[EXCLUDE])</f>
        <v>0</v>
      </c>
    </row>
    <row r="271" spans="1:18">
      <c r="A271" s="2" t="s">
        <v>2985</v>
      </c>
      <c r="B271" s="26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7" t="s">
        <v>2259</v>
      </c>
      <c r="G271" t="s">
        <v>1339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6" t="str">
        <f>"item_"&amp;CONTROL[[#This Row],[VEHIDCODE]]</f>
        <v>item_diesel_ALCO_RSD_39</v>
      </c>
      <c r="P271" s="26" t="str">
        <f>"str_"&amp;CONTROL[[#This Row],[VEHIDCODE]]</f>
        <v>str_diesel_ALCO_RSD_39</v>
      </c>
      <c r="Q271" s="8" t="b">
        <f>_xlfn.XLOOKUP(CONTROL[[#This Row],[VEHIDCODE]],PROPERTIES[VEHIDCODE],PROPERTIES[IS_CONCEPT])="IS_CONCEPT"</f>
        <v>0</v>
      </c>
      <c r="R271" s="8" t="b">
        <f>_xlfn.XLOOKUP(CONTROL[[#This Row],[VEHIDCODE]],PROPERTIES[VEHIDCODE],PROPERTIES[EXCLUDE])</f>
        <v>0</v>
      </c>
    </row>
    <row r="272" spans="1:18">
      <c r="A272" s="2" t="s">
        <v>2986</v>
      </c>
      <c r="B272" s="26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7" t="s">
        <v>2073</v>
      </c>
      <c r="G272" t="s">
        <v>1340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6" t="str">
        <f>"item_"&amp;CONTROL[[#This Row],[VEHIDCODE]]</f>
        <v>item_diesel_EMD_DDM45</v>
      </c>
      <c r="P272" s="26" t="str">
        <f>"str_"&amp;CONTROL[[#This Row],[VEHIDCODE]]</f>
        <v>str_diesel_EMD_DDM45</v>
      </c>
      <c r="Q272" s="8" t="b">
        <f>_xlfn.XLOOKUP(CONTROL[[#This Row],[VEHIDCODE]],PROPERTIES[VEHIDCODE],PROPERTIES[IS_CONCEPT])="IS_CONCEPT"</f>
        <v>0</v>
      </c>
      <c r="R272" s="8" t="b">
        <f>_xlfn.XLOOKUP(CONTROL[[#This Row],[VEHIDCODE]],PROPERTIES[VEHIDCODE],PROPERTIES[EXCLUDE])</f>
        <v>0</v>
      </c>
    </row>
    <row r="273" spans="1:18">
      <c r="A273" s="2" t="s">
        <v>2987</v>
      </c>
      <c r="B273" s="26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7" t="s">
        <v>3605</v>
      </c>
      <c r="G273" t="s">
        <v>1341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6" t="str">
        <f>"item_"&amp;CONTROL[[#This Row],[VEHIDCODE]]</f>
        <v>item_diesel_GE_C39_8__FCCA_</v>
      </c>
      <c r="P273" s="26" t="str">
        <f>"str_"&amp;CONTROL[[#This Row],[VEHIDCODE]]</f>
        <v>str_diesel_GE_C39_8__FCCA_</v>
      </c>
      <c r="Q273" s="8" t="b">
        <f>_xlfn.XLOOKUP(CONTROL[[#This Row],[VEHIDCODE]],PROPERTIES[VEHIDCODE],PROPERTIES[IS_CONCEPT])="IS_CONCEPT"</f>
        <v>0</v>
      </c>
      <c r="R273" s="8" t="b">
        <f>_xlfn.XLOOKUP(CONTROL[[#This Row],[VEHIDCODE]],PROPERTIES[VEHIDCODE],PROPERTIES[EXCLUDE])</f>
        <v>0</v>
      </c>
    </row>
    <row r="274" spans="1:18">
      <c r="A274" s="2" t="s">
        <v>2988</v>
      </c>
      <c r="B274" s="26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7" t="s">
        <v>3696</v>
      </c>
      <c r="G274" t="s">
        <v>1342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6" t="str">
        <f>"item_"&amp;CONTROL[[#This Row],[VEHIDCODE]]</f>
        <v>item_diesel_SOFSE_319_3</v>
      </c>
      <c r="P274" s="26" t="str">
        <f>"str_"&amp;CONTROL[[#This Row],[VEHIDCODE]]</f>
        <v>str_diesel_SOFSE_319_3</v>
      </c>
      <c r="Q274" s="8" t="b">
        <f>_xlfn.XLOOKUP(CONTROL[[#This Row],[VEHIDCODE]],PROPERTIES[VEHIDCODE],PROPERTIES[IS_CONCEPT])="IS_CONCEPT"</f>
        <v>0</v>
      </c>
      <c r="R274" s="8" t="b">
        <f>_xlfn.XLOOKUP(CONTROL[[#This Row],[VEHIDCODE]],PROPERTIES[VEHIDCODE],PROPERTIES[EXCLUDE])</f>
        <v>0</v>
      </c>
    </row>
    <row r="275" spans="1:18">
      <c r="A275" s="2" t="s">
        <v>2989</v>
      </c>
      <c r="B275" s="26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7" t="s">
        <v>2094</v>
      </c>
      <c r="G275" t="s">
        <v>1343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6" t="str">
        <f>"item_"&amp;CONTROL[[#This Row],[VEHIDCODE]]</f>
        <v>item_diesel_CNR_CKD8G</v>
      </c>
      <c r="P275" s="26" t="str">
        <f>"str_"&amp;CONTROL[[#This Row],[VEHIDCODE]]</f>
        <v>str_diesel_CNR_CKD8G</v>
      </c>
      <c r="Q275" s="8" t="b">
        <f>_xlfn.XLOOKUP(CONTROL[[#This Row],[VEHIDCODE]],PROPERTIES[VEHIDCODE],PROPERTIES[IS_CONCEPT])="IS_CONCEPT"</f>
        <v>0</v>
      </c>
      <c r="R275" s="8" t="b">
        <f>_xlfn.XLOOKUP(CONTROL[[#This Row],[VEHIDCODE]],PROPERTIES[VEHIDCODE],PROPERTIES[EXCLUDE])</f>
        <v>0</v>
      </c>
    </row>
    <row r="276" spans="1:18">
      <c r="A276" s="2" t="s">
        <v>2990</v>
      </c>
      <c r="B276" s="26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7" t="s">
        <v>2260</v>
      </c>
      <c r="G276" t="s">
        <v>1344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6" t="str">
        <f>"item_"&amp;CONTROL[[#This Row],[VEHIDCODE]]</f>
        <v>item_diesel_AEG_SAR_DS</v>
      </c>
      <c r="P276" s="26" t="str">
        <f>"str_"&amp;CONTROL[[#This Row],[VEHIDCODE]]</f>
        <v>str_diesel_AEG_SAR_DS</v>
      </c>
      <c r="Q276" s="8" t="b">
        <f>_xlfn.XLOOKUP(CONTROL[[#This Row],[VEHIDCODE]],PROPERTIES[VEHIDCODE],PROPERTIES[IS_CONCEPT])="IS_CONCEPT"</f>
        <v>0</v>
      </c>
      <c r="R276" s="8" t="b">
        <f>_xlfn.XLOOKUP(CONTROL[[#This Row],[VEHIDCODE]],PROPERTIES[VEHIDCODE],PROPERTIES[EXCLUDE])</f>
        <v>0</v>
      </c>
    </row>
    <row r="277" spans="1:18">
      <c r="A277" s="2" t="s">
        <v>2991</v>
      </c>
      <c r="B277" s="26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7" t="s">
        <v>3599</v>
      </c>
      <c r="G277" t="s">
        <v>3598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6" t="str">
        <f>"item_"&amp;CONTROL[[#This Row],[VEHIDCODE]]</f>
        <v>item_diesel_GM_GT_26_W__040DG_</v>
      </c>
      <c r="P277" s="26" t="str">
        <f>"str_"&amp;CONTROL[[#This Row],[VEHIDCODE]]</f>
        <v>str_diesel_GM_GT_26_W__040DG_</v>
      </c>
      <c r="Q277" s="8" t="b">
        <f>_xlfn.XLOOKUP(CONTROL[[#This Row],[VEHIDCODE]],PROPERTIES[VEHIDCODE],PROPERTIES[IS_CONCEPT])="IS_CONCEPT"</f>
        <v>0</v>
      </c>
      <c r="R277" s="8" t="b">
        <f>_xlfn.XLOOKUP(CONTROL[[#This Row],[VEHIDCODE]],PROPERTIES[VEHIDCODE],PROPERTIES[EXCLUDE])</f>
        <v>0</v>
      </c>
    </row>
    <row r="278" spans="1:18">
      <c r="A278" s="2" t="s">
        <v>2992</v>
      </c>
      <c r="B278" s="26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7" t="s">
        <v>2261</v>
      </c>
      <c r="G278" t="s">
        <v>1346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6" t="str">
        <f>"item_"&amp;CONTROL[[#This Row],[VEHIDCODE]]</f>
        <v>item_diesel_EMD_GL8__040DF_</v>
      </c>
      <c r="P278" s="26" t="str">
        <f>"str_"&amp;CONTROL[[#This Row],[VEHIDCODE]]</f>
        <v>str_diesel_EMD_GL8__040DF_</v>
      </c>
      <c r="Q278" s="8" t="b">
        <f>_xlfn.XLOOKUP(CONTROL[[#This Row],[VEHIDCODE]],PROPERTIES[VEHIDCODE],PROPERTIES[IS_CONCEPT])="IS_CONCEPT"</f>
        <v>0</v>
      </c>
      <c r="R278" s="8" t="b">
        <f>_xlfn.XLOOKUP(CONTROL[[#This Row],[VEHIDCODE]],PROPERTIES[VEHIDCODE],PROPERTIES[EXCLUDE])</f>
        <v>1</v>
      </c>
    </row>
    <row r="279" spans="1:18">
      <c r="A279" s="2" t="s">
        <v>2993</v>
      </c>
      <c r="B279" s="26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7" t="s">
        <v>2074</v>
      </c>
      <c r="G279" t="s">
        <v>1347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6" t="str">
        <f>"item_"&amp;CONTROL[[#This Row],[VEHIDCODE]]</f>
        <v>item_diesel_LTZ_TE114E</v>
      </c>
      <c r="P279" s="26" t="str">
        <f>"str_"&amp;CONTROL[[#This Row],[VEHIDCODE]]</f>
        <v>str_diesel_LTZ_TE114E</v>
      </c>
      <c r="Q279" s="8" t="b">
        <f>_xlfn.XLOOKUP(CONTROL[[#This Row],[VEHIDCODE]],PROPERTIES[VEHIDCODE],PROPERTIES[IS_CONCEPT])="IS_CONCEPT"</f>
        <v>0</v>
      </c>
      <c r="R279" s="8" t="b">
        <f>_xlfn.XLOOKUP(CONTROL[[#This Row],[VEHIDCODE]],PROPERTIES[VEHIDCODE],PROPERTIES[EXCLUDE])</f>
        <v>0</v>
      </c>
    </row>
    <row r="280" spans="1:18">
      <c r="A280" s="2" t="s">
        <v>2994</v>
      </c>
      <c r="B280" s="26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7" t="s">
        <v>3604</v>
      </c>
      <c r="G280" t="s">
        <v>3603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6" t="str">
        <f>"item_"&amp;CONTROL[[#This Row],[VEHIDCODE]]</f>
        <v>item_diesel_GM_GL_18_B__040DJ_</v>
      </c>
      <c r="P280" s="26" t="str">
        <f>"str_"&amp;CONTROL[[#This Row],[VEHIDCODE]]</f>
        <v>str_diesel_GM_GL_18_B__040DJ_</v>
      </c>
      <c r="Q280" s="8" t="b">
        <f>_xlfn.XLOOKUP(CONTROL[[#This Row],[VEHIDCODE]],PROPERTIES[VEHIDCODE],PROPERTIES[IS_CONCEPT])="IS_CONCEPT"</f>
        <v>0</v>
      </c>
      <c r="R280" s="8" t="b">
        <f>_xlfn.XLOOKUP(CONTROL[[#This Row],[VEHIDCODE]],PROPERTIES[VEHIDCODE],PROPERTIES[EXCLUDE])</f>
        <v>0</v>
      </c>
    </row>
    <row r="281" spans="1:18">
      <c r="A281" s="2" t="s">
        <v>2995</v>
      </c>
      <c r="B281" s="26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7" t="s">
        <v>2626</v>
      </c>
      <c r="G281" t="s">
        <v>1348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6" t="str">
        <f>"item_"&amp;CONTROL[[#This Row],[VEHIDCODE]]</f>
        <v>item_diesel_Alsthom_CC_72000</v>
      </c>
      <c r="P281" s="26" t="str">
        <f>"str_"&amp;CONTROL[[#This Row],[VEHIDCODE]]</f>
        <v>str_diesel_Alsthom_CC_72000</v>
      </c>
      <c r="Q281" s="8" t="b">
        <f>_xlfn.XLOOKUP(CONTROL[[#This Row],[VEHIDCODE]],PROPERTIES[VEHIDCODE],PROPERTIES[IS_CONCEPT])="IS_CONCEPT"</f>
        <v>0</v>
      </c>
      <c r="R281" s="8" t="b">
        <f>_xlfn.XLOOKUP(CONTROL[[#This Row],[VEHIDCODE]],PROPERTIES[VEHIDCODE],PROPERTIES[EXCLUDE])</f>
        <v>0</v>
      </c>
    </row>
    <row r="282" spans="1:18">
      <c r="A282" s="2" t="s">
        <v>2996</v>
      </c>
      <c r="B282" s="26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7" t="s">
        <v>2075</v>
      </c>
      <c r="G282" t="s">
        <v>1349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6" t="str">
        <f>"item_"&amp;CONTROL[[#This Row],[VEHIDCODE]]</f>
        <v>item_diesel_LTZ_TEP10L</v>
      </c>
      <c r="P282" s="26" t="str">
        <f>"str_"&amp;CONTROL[[#This Row],[VEHIDCODE]]</f>
        <v>str_diesel_LTZ_TEP10L</v>
      </c>
      <c r="Q282" s="8" t="b">
        <f>_xlfn.XLOOKUP(CONTROL[[#This Row],[VEHIDCODE]],PROPERTIES[VEHIDCODE],PROPERTIES[IS_CONCEPT])="IS_CONCEPT"</f>
        <v>0</v>
      </c>
      <c r="R282" s="8" t="b">
        <f>_xlfn.XLOOKUP(CONTROL[[#This Row],[VEHIDCODE]],PROPERTIES[VEHIDCODE],PROPERTIES[EXCLUDE])</f>
        <v>0</v>
      </c>
    </row>
    <row r="283" spans="1:18">
      <c r="A283" s="2" t="s">
        <v>2997</v>
      </c>
      <c r="B283" s="26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7" t="s">
        <v>2076</v>
      </c>
      <c r="G283" t="s">
        <v>1350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6" t="str">
        <f>"item_"&amp;CONTROL[[#This Row],[VEHIDCODE]]</f>
        <v>item_diesel_LTZ_2TE10M</v>
      </c>
      <c r="P283" s="26" t="str">
        <f>"str_"&amp;CONTROL[[#This Row],[VEHIDCODE]]</f>
        <v>str_diesel_LTZ_2TE10M</v>
      </c>
      <c r="Q283" s="8" t="b">
        <f>_xlfn.XLOOKUP(CONTROL[[#This Row],[VEHIDCODE]],PROPERTIES[VEHIDCODE],PROPERTIES[IS_CONCEPT])="IS_CONCEPT"</f>
        <v>0</v>
      </c>
      <c r="R283" s="8" t="b">
        <f>_xlfn.XLOOKUP(CONTROL[[#This Row],[VEHIDCODE]],PROPERTIES[VEHIDCODE],PROPERTIES[EXCLUDE])</f>
        <v>1</v>
      </c>
    </row>
    <row r="284" spans="1:18">
      <c r="A284" s="2" t="s">
        <v>2998</v>
      </c>
      <c r="B284" s="26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7" t="s">
        <v>2034</v>
      </c>
      <c r="G284" t="s">
        <v>1351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6" t="str">
        <f>"item_"&amp;CONTROL[[#This Row],[VEHIDCODE]]</f>
        <v>item_diesel_FAUR_LDE1300</v>
      </c>
      <c r="P284" s="26" t="str">
        <f>"str_"&amp;CONTROL[[#This Row],[VEHIDCODE]]</f>
        <v>str_diesel_FAUR_LDE1300</v>
      </c>
      <c r="Q284" s="8" t="b">
        <f>_xlfn.XLOOKUP(CONTROL[[#This Row],[VEHIDCODE]],PROPERTIES[VEHIDCODE],PROPERTIES[IS_CONCEPT])="IS_CONCEPT"</f>
        <v>0</v>
      </c>
      <c r="R284" s="8" t="b">
        <f>_xlfn.XLOOKUP(CONTROL[[#This Row],[VEHIDCODE]],PROPERTIES[VEHIDCODE],PROPERTIES[EXCLUDE])</f>
        <v>0</v>
      </c>
    </row>
    <row r="285" spans="1:18">
      <c r="A285" s="2" t="s">
        <v>2999</v>
      </c>
      <c r="B285" s="26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7" t="s">
        <v>2077</v>
      </c>
      <c r="G285" t="s">
        <v>1352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6" t="str">
        <f>"item_"&amp;CONTROL[[#This Row],[VEHIDCODE]]</f>
        <v>item_diesel_LTZ_2TE126</v>
      </c>
      <c r="P285" s="26" t="str">
        <f>"str_"&amp;CONTROL[[#This Row],[VEHIDCODE]]</f>
        <v>str_diesel_LTZ_2TE126</v>
      </c>
      <c r="Q285" s="8" t="b">
        <f>_xlfn.XLOOKUP(CONTROL[[#This Row],[VEHIDCODE]],PROPERTIES[VEHIDCODE],PROPERTIES[IS_CONCEPT])="IS_CONCEPT"</f>
        <v>0</v>
      </c>
      <c r="R285" s="8" t="b">
        <f>_xlfn.XLOOKUP(CONTROL[[#This Row],[VEHIDCODE]],PROPERTIES[VEHIDCODE],PROPERTIES[EXCLUDE])</f>
        <v>1</v>
      </c>
    </row>
    <row r="286" spans="1:18">
      <c r="A286" s="2" t="s">
        <v>3000</v>
      </c>
      <c r="B286" s="26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7" t="s">
        <v>2078</v>
      </c>
      <c r="G286" t="s">
        <v>1353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6" t="str">
        <f>"item_"&amp;CONTROL[[#This Row],[VEHIDCODE]]</f>
        <v>item_diesel_LTZ_2TE10Ut</v>
      </c>
      <c r="P286" s="26" t="str">
        <f>"str_"&amp;CONTROL[[#This Row],[VEHIDCODE]]</f>
        <v>str_diesel_LTZ_2TE10Ut</v>
      </c>
      <c r="Q286" s="8" t="b">
        <f>_xlfn.XLOOKUP(CONTROL[[#This Row],[VEHIDCODE]],PROPERTIES[VEHIDCODE],PROPERTIES[IS_CONCEPT])="IS_CONCEPT"</f>
        <v>0</v>
      </c>
      <c r="R286" s="8" t="b">
        <f>_xlfn.XLOOKUP(CONTROL[[#This Row],[VEHIDCODE]],PROPERTIES[VEHIDCODE],PROPERTIES[EXCLUDE])</f>
        <v>1</v>
      </c>
    </row>
    <row r="287" spans="1:18">
      <c r="A287" s="2" t="s">
        <v>3001</v>
      </c>
      <c r="B287" s="26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7" t="s">
        <v>2262</v>
      </c>
      <c r="G287" t="s">
        <v>1354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6" t="str">
        <f>"item_"&amp;CONTROL[[#This Row],[VEHIDCODE]]</f>
        <v>item_diesel_CMKS_709_0_4_0DE</v>
      </c>
      <c r="P287" s="26" t="str">
        <f>"str_"&amp;CONTROL[[#This Row],[VEHIDCODE]]</f>
        <v>str_diesel_CMKS_709_0_4_0DE</v>
      </c>
      <c r="Q287" s="8" t="b">
        <f>_xlfn.XLOOKUP(CONTROL[[#This Row],[VEHIDCODE]],PROPERTIES[VEHIDCODE],PROPERTIES[IS_CONCEPT])="IS_CONCEPT"</f>
        <v>0</v>
      </c>
      <c r="R287" s="8" t="b">
        <f>_xlfn.XLOOKUP(CONTROL[[#This Row],[VEHIDCODE]],PROPERTIES[VEHIDCODE],PROPERTIES[EXCLUDE])</f>
        <v>0</v>
      </c>
    </row>
    <row r="288" spans="1:18">
      <c r="A288" s="2" t="s">
        <v>3002</v>
      </c>
      <c r="B288" s="26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7" t="s">
        <v>2263</v>
      </c>
      <c r="G288" t="s">
        <v>1355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6" t="str">
        <f>"item_"&amp;CONTROL[[#This Row],[VEHIDCODE]]</f>
        <v>item_diesel_Antonio_Badoni_Lecco_Sogliole_207</v>
      </c>
      <c r="P288" s="26" t="str">
        <f>"str_"&amp;CONTROL[[#This Row],[VEHIDCODE]]</f>
        <v>str_diesel_Antonio_Badoni_Lecco_Sogliole_207</v>
      </c>
      <c r="Q288" s="8" t="b">
        <f>_xlfn.XLOOKUP(CONTROL[[#This Row],[VEHIDCODE]],PROPERTIES[VEHIDCODE],PROPERTIES[IS_CONCEPT])="IS_CONCEPT"</f>
        <v>0</v>
      </c>
      <c r="R288" s="8" t="b">
        <f>_xlfn.XLOOKUP(CONTROL[[#This Row],[VEHIDCODE]],PROPERTIES[VEHIDCODE],PROPERTIES[EXCLUDE])</f>
        <v>0</v>
      </c>
    </row>
    <row r="289" spans="1:18">
      <c r="A289" s="2" t="s">
        <v>3003</v>
      </c>
      <c r="B289" s="26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7" t="s">
        <v>2082</v>
      </c>
      <c r="G289" t="s">
        <v>1356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6" t="str">
        <f>"item_"&amp;CONTROL[[#This Row],[VEHIDCODE]]</f>
        <v>item_diesel_Baldwin_0_6_6_0_1000</v>
      </c>
      <c r="P289" s="26" t="str">
        <f>"str_"&amp;CONTROL[[#This Row],[VEHIDCODE]]</f>
        <v>str_diesel_Baldwin_0_6_6_0_1000</v>
      </c>
      <c r="Q289" s="8" t="b">
        <f>_xlfn.XLOOKUP(CONTROL[[#This Row],[VEHIDCODE]],PROPERTIES[VEHIDCODE],PROPERTIES[IS_CONCEPT])="IS_CONCEPT"</f>
        <v>0</v>
      </c>
      <c r="R289" s="8" t="b">
        <f>_xlfn.XLOOKUP(CONTROL[[#This Row],[VEHIDCODE]],PROPERTIES[VEHIDCODE],PROPERTIES[EXCLUDE])</f>
        <v>0</v>
      </c>
    </row>
    <row r="290" spans="1:18">
      <c r="A290" s="2" t="s">
        <v>3004</v>
      </c>
      <c r="B290" s="26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7" t="s">
        <v>2083</v>
      </c>
      <c r="G290" t="s">
        <v>1357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6" t="str">
        <f>"item_"&amp;CONTROL[[#This Row],[VEHIDCODE]]</f>
        <v>item_diesel_ALCO_RSC_2</v>
      </c>
      <c r="P290" s="26" t="str">
        <f>"str_"&amp;CONTROL[[#This Row],[VEHIDCODE]]</f>
        <v>str_diesel_ALCO_RSC_2</v>
      </c>
      <c r="Q290" s="8" t="b">
        <f>_xlfn.XLOOKUP(CONTROL[[#This Row],[VEHIDCODE]],PROPERTIES[VEHIDCODE],PROPERTIES[IS_CONCEPT])="IS_CONCEPT"</f>
        <v>0</v>
      </c>
      <c r="R290" s="8" t="b">
        <f>_xlfn.XLOOKUP(CONTROL[[#This Row],[VEHIDCODE]],PROPERTIES[VEHIDCODE],PROPERTIES[EXCLUDE])</f>
        <v>0</v>
      </c>
    </row>
    <row r="291" spans="1:18">
      <c r="A291" s="2" t="s">
        <v>3005</v>
      </c>
      <c r="B291" s="26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7" t="s">
        <v>2264</v>
      </c>
      <c r="G291" t="s">
        <v>1358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6" t="str">
        <f>"item_"&amp;CONTROL[[#This Row],[VEHIDCODE]]</f>
        <v>item_diesel_Brissonneau_and_Lotz_BB_67400</v>
      </c>
      <c r="P291" s="26" t="str">
        <f>"str_"&amp;CONTROL[[#This Row],[VEHIDCODE]]</f>
        <v>str_diesel_Brissonneau_and_Lotz_BB_67400</v>
      </c>
      <c r="Q291" s="8" t="b">
        <f>_xlfn.XLOOKUP(CONTROL[[#This Row],[VEHIDCODE]],PROPERTIES[VEHIDCODE],PROPERTIES[IS_CONCEPT])="IS_CONCEPT"</f>
        <v>0</v>
      </c>
      <c r="R291" s="8" t="b">
        <f>_xlfn.XLOOKUP(CONTROL[[#This Row],[VEHIDCODE]],PROPERTIES[VEHIDCODE],PROPERTIES[EXCLUDE])</f>
        <v>0</v>
      </c>
    </row>
    <row r="292" spans="1:18">
      <c r="A292" s="2" t="s">
        <v>3006</v>
      </c>
      <c r="B292" s="26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7" t="s">
        <v>2035</v>
      </c>
      <c r="G292" t="s">
        <v>1359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6" t="str">
        <f>"item_"&amp;CONTROL[[#This Row],[VEHIDCODE]]</f>
        <v>item_diesel_MaK_DE_6400</v>
      </c>
      <c r="P292" s="26" t="str">
        <f>"str_"&amp;CONTROL[[#This Row],[VEHIDCODE]]</f>
        <v>str_diesel_MaK_DE_6400</v>
      </c>
      <c r="Q292" s="8" t="b">
        <f>_xlfn.XLOOKUP(CONTROL[[#This Row],[VEHIDCODE]],PROPERTIES[VEHIDCODE],PROPERTIES[IS_CONCEPT])="IS_CONCEPT"</f>
        <v>0</v>
      </c>
      <c r="R292" s="8" t="b">
        <f>_xlfn.XLOOKUP(CONTROL[[#This Row],[VEHIDCODE]],PROPERTIES[VEHIDCODE],PROPERTIES[EXCLUDE])</f>
        <v>0</v>
      </c>
    </row>
    <row r="293" spans="1:18">
      <c r="A293" s="2" t="s">
        <v>3007</v>
      </c>
      <c r="B293" s="26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7" t="s">
        <v>2095</v>
      </c>
      <c r="G293" t="s">
        <v>1360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6" t="str">
        <f>"item_"&amp;CONTROL[[#This Row],[VEHIDCODE]]</f>
        <v>item_diesel_GE_ES40ACi</v>
      </c>
      <c r="P293" s="26" t="str">
        <f>"str_"&amp;CONTROL[[#This Row],[VEHIDCODE]]</f>
        <v>str_diesel_GE_ES40ACi</v>
      </c>
      <c r="Q293" s="8" t="b">
        <f>_xlfn.XLOOKUP(CONTROL[[#This Row],[VEHIDCODE]],PROPERTIES[VEHIDCODE],PROPERTIES[IS_CONCEPT])="IS_CONCEPT"</f>
        <v>0</v>
      </c>
      <c r="R293" s="8" t="b">
        <f>_xlfn.XLOOKUP(CONTROL[[#This Row],[VEHIDCODE]],PROPERTIES[VEHIDCODE],PROPERTIES[EXCLUDE])</f>
        <v>0</v>
      </c>
    </row>
    <row r="294" spans="1:18">
      <c r="A294" s="2" t="s">
        <v>3008</v>
      </c>
      <c r="B294" s="26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7" t="s">
        <v>2265</v>
      </c>
      <c r="G294" t="s">
        <v>1361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6" t="str">
        <f>"item_"&amp;CONTROL[[#This Row],[VEHIDCODE]]</f>
        <v>item_diesel_Vossloh_Afro_4000</v>
      </c>
      <c r="P294" s="26" t="str">
        <f>"str_"&amp;CONTROL[[#This Row],[VEHIDCODE]]</f>
        <v>str_diesel_Vossloh_Afro_4000</v>
      </c>
      <c r="Q294" s="8" t="b">
        <f>_xlfn.XLOOKUP(CONTROL[[#This Row],[VEHIDCODE]],PROPERTIES[VEHIDCODE],PROPERTIES[IS_CONCEPT])="IS_CONCEPT"</f>
        <v>0</v>
      </c>
      <c r="R294" s="8" t="b">
        <f>_xlfn.XLOOKUP(CONTROL[[#This Row],[VEHIDCODE]],PROPERTIES[VEHIDCODE],PROPERTIES[EXCLUDE])</f>
        <v>0</v>
      </c>
    </row>
    <row r="295" spans="1:18">
      <c r="A295" s="2" t="s">
        <v>3009</v>
      </c>
      <c r="B295" s="26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7" t="s">
        <v>2266</v>
      </c>
      <c r="G295" t="s">
        <v>1362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6" t="str">
        <f>"item_"&amp;CONTROL[[#This Row],[VEHIDCODE]]</f>
        <v>item_diesel_GE_U10B</v>
      </c>
      <c r="P295" s="26" t="str">
        <f>"str_"&amp;CONTROL[[#This Row],[VEHIDCODE]]</f>
        <v>str_diesel_GE_U10B</v>
      </c>
      <c r="Q295" s="8" t="b">
        <f>_xlfn.XLOOKUP(CONTROL[[#This Row],[VEHIDCODE]],PROPERTIES[VEHIDCODE],PROPERTIES[IS_CONCEPT])="IS_CONCEPT"</f>
        <v>0</v>
      </c>
      <c r="R295" s="8" t="b">
        <f>_xlfn.XLOOKUP(CONTROL[[#This Row],[VEHIDCODE]],PROPERTIES[VEHIDCODE],PROPERTIES[EXCLUDE])</f>
        <v>0</v>
      </c>
    </row>
    <row r="296" spans="1:18">
      <c r="A296" s="2" t="s">
        <v>3010</v>
      </c>
      <c r="B296" s="26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7" t="s">
        <v>2267</v>
      </c>
      <c r="G296" t="s">
        <v>1363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6" t="str">
        <f>"item_"&amp;CONTROL[[#This Row],[VEHIDCODE]]</f>
        <v>item_diesel_EMD_Pacific_GT26C_3</v>
      </c>
      <c r="P296" s="26" t="str">
        <f>"str_"&amp;CONTROL[[#This Row],[VEHIDCODE]]</f>
        <v>str_diesel_EMD_Pacific_GT26C_3</v>
      </c>
      <c r="Q296" s="8" t="b">
        <f>_xlfn.XLOOKUP(CONTROL[[#This Row],[VEHIDCODE]],PROPERTIES[VEHIDCODE],PROPERTIES[IS_CONCEPT])="IS_CONCEPT"</f>
        <v>0</v>
      </c>
      <c r="R296" s="8" t="b">
        <f>_xlfn.XLOOKUP(CONTROL[[#This Row],[VEHIDCODE]],PROPERTIES[VEHIDCODE],PROPERTIES[EXCLUDE])</f>
        <v>0</v>
      </c>
    </row>
    <row r="297" spans="1:18">
      <c r="A297" s="2" t="s">
        <v>3011</v>
      </c>
      <c r="B297" s="26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7" t="s">
        <v>402</v>
      </c>
      <c r="G297" t="s">
        <v>1364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6" t="str">
        <f>"item_"&amp;CONTROL[[#This Row],[VEHIDCODE]]</f>
        <v>item_diesel_CargoNet_312</v>
      </c>
      <c r="P297" s="26" t="str">
        <f>"str_"&amp;CONTROL[[#This Row],[VEHIDCODE]]</f>
        <v>str_diesel_CargoNet_312</v>
      </c>
      <c r="Q297" s="8" t="b">
        <f>_xlfn.XLOOKUP(CONTROL[[#This Row],[VEHIDCODE]],PROPERTIES[VEHIDCODE],PROPERTIES[IS_CONCEPT])="IS_CONCEPT"</f>
        <v>0</v>
      </c>
      <c r="R297" s="8" t="b">
        <f>_xlfn.XLOOKUP(CONTROL[[#This Row],[VEHIDCODE]],PROPERTIES[VEHIDCODE],PROPERTIES[EXCLUDE])</f>
        <v>0</v>
      </c>
    </row>
    <row r="298" spans="1:18">
      <c r="A298" s="2" t="s">
        <v>3012</v>
      </c>
      <c r="B298" s="26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7" t="s">
        <v>2268</v>
      </c>
      <c r="G298" t="s">
        <v>1365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6" t="str">
        <f>"item_"&amp;CONTROL[[#This Row],[VEHIDCODE]]</f>
        <v>item_diesel_GE_Pacific_C44ESACi</v>
      </c>
      <c r="P298" s="26" t="str">
        <f>"str_"&amp;CONTROL[[#This Row],[VEHIDCODE]]</f>
        <v>str_diesel_GE_Pacific_C44ESACi</v>
      </c>
      <c r="Q298" s="8" t="b">
        <f>_xlfn.XLOOKUP(CONTROL[[#This Row],[VEHIDCODE]],PROPERTIES[VEHIDCODE],PROPERTIES[IS_CONCEPT])="IS_CONCEPT"</f>
        <v>0</v>
      </c>
      <c r="R298" s="8" t="b">
        <f>_xlfn.XLOOKUP(CONTROL[[#This Row],[VEHIDCODE]],PROPERTIES[VEHIDCODE],PROPERTIES[EXCLUDE])</f>
        <v>0</v>
      </c>
    </row>
    <row r="299" spans="1:18">
      <c r="A299" s="2" t="s">
        <v>3013</v>
      </c>
      <c r="B299" s="26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7" t="s">
        <v>2038</v>
      </c>
      <c r="G299" t="s">
        <v>1366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6" t="str">
        <f>"item_"&amp;CONTROL[[#This Row],[VEHIDCODE]]</f>
        <v>item_diesel_Stadler_UKLight</v>
      </c>
      <c r="P299" s="26" t="str">
        <f>"str_"&amp;CONTROL[[#This Row],[VEHIDCODE]]</f>
        <v>str_diesel_Stadler_UKLight</v>
      </c>
      <c r="Q299" s="8" t="b">
        <f>_xlfn.XLOOKUP(CONTROL[[#This Row],[VEHIDCODE]],PROPERTIES[VEHIDCODE],PROPERTIES[IS_CONCEPT])="IS_CONCEPT"</f>
        <v>0</v>
      </c>
      <c r="R299" s="8" t="b">
        <f>_xlfn.XLOOKUP(CONTROL[[#This Row],[VEHIDCODE]],PROPERTIES[VEHIDCODE],PROPERTIES[EXCLUDE])</f>
        <v>0</v>
      </c>
    </row>
    <row r="300" spans="1:18">
      <c r="A300" s="2" t="s">
        <v>3014</v>
      </c>
      <c r="B300" s="26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7" t="s">
        <v>2096</v>
      </c>
      <c r="G300" t="s">
        <v>1367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6" t="str">
        <f>"item_"&amp;CONTROL[[#This Row],[VEHIDCODE]]</f>
        <v>item_diesel_Siemens_Charger_ALC_42</v>
      </c>
      <c r="P300" s="26" t="str">
        <f>"str_"&amp;CONTROL[[#This Row],[VEHIDCODE]]</f>
        <v>str_diesel_Siemens_Charger_ALC_42</v>
      </c>
      <c r="Q300" s="8" t="b">
        <f>_xlfn.XLOOKUP(CONTROL[[#This Row],[VEHIDCODE]],PROPERTIES[VEHIDCODE],PROPERTIES[IS_CONCEPT])="IS_CONCEPT"</f>
        <v>0</v>
      </c>
      <c r="R300" s="8" t="b">
        <f>_xlfn.XLOOKUP(CONTROL[[#This Row],[VEHIDCODE]],PROPERTIES[VEHIDCODE],PROPERTIES[EXCLUDE])</f>
        <v>0</v>
      </c>
    </row>
    <row r="301" spans="1:18">
      <c r="A301" s="2" t="s">
        <v>3015</v>
      </c>
      <c r="B301" s="26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7" t="s">
        <v>403</v>
      </c>
      <c r="G301" t="s">
        <v>1369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6" t="str">
        <f>"item_"&amp;CONTROL[[#This Row],[VEHIDCODE]]</f>
        <v>item_mtro_Buenos_Aires_Le_Brugeoise</v>
      </c>
      <c r="P301" s="26" t="str">
        <f>"str_"&amp;CONTROL[[#This Row],[VEHIDCODE]]</f>
        <v>str_mtro_Buenos_Aires_Le_Brugeoise</v>
      </c>
      <c r="Q301" s="8" t="b">
        <f>_xlfn.XLOOKUP(CONTROL[[#This Row],[VEHIDCODE]],PROPERTIES[VEHIDCODE],PROPERTIES[IS_CONCEPT])="IS_CONCEPT"</f>
        <v>0</v>
      </c>
      <c r="R301" s="8" t="b">
        <f>_xlfn.XLOOKUP(CONTROL[[#This Row],[VEHIDCODE]],PROPERTIES[VEHIDCODE],PROPERTIES[EXCLUDE])</f>
        <v>0</v>
      </c>
    </row>
    <row r="302" spans="1:18">
      <c r="A302" s="2" t="s">
        <v>3016</v>
      </c>
      <c r="B302" s="26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7" t="s">
        <v>2271</v>
      </c>
      <c r="G302" t="s">
        <v>1370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6" t="str">
        <f>"item_"&amp;CONTROL[[#This Row],[VEHIDCODE]]</f>
        <v>item_mtro_ACF_New_York_R1</v>
      </c>
      <c r="P302" s="26" t="str">
        <f>"str_"&amp;CONTROL[[#This Row],[VEHIDCODE]]</f>
        <v>str_mtro_ACF_New_York_R1</v>
      </c>
      <c r="Q302" s="8" t="b">
        <f>_xlfn.XLOOKUP(CONTROL[[#This Row],[VEHIDCODE]],PROPERTIES[VEHIDCODE],PROPERTIES[IS_CONCEPT])="IS_CONCEPT"</f>
        <v>0</v>
      </c>
      <c r="R302" s="8" t="b">
        <f>_xlfn.XLOOKUP(CONTROL[[#This Row],[VEHIDCODE]],PROPERTIES[VEHIDCODE],PROPERTIES[EXCLUDE])</f>
        <v>0</v>
      </c>
    </row>
    <row r="303" spans="1:18">
      <c r="A303" s="2" t="s">
        <v>3017</v>
      </c>
      <c r="B303" s="26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7" t="s">
        <v>2269</v>
      </c>
      <c r="G303" t="s">
        <v>1371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6" t="str">
        <f>"item_"&amp;CONTROL[[#This Row],[VEHIDCODE]]</f>
        <v>item_mtro_LHB_ET_171</v>
      </c>
      <c r="P303" s="26" t="str">
        <f>"str_"&amp;CONTROL[[#This Row],[VEHIDCODE]]</f>
        <v>str_mtro_LHB_ET_171</v>
      </c>
      <c r="Q303" s="8" t="b">
        <f>_xlfn.XLOOKUP(CONTROL[[#This Row],[VEHIDCODE]],PROPERTIES[VEHIDCODE],PROPERTIES[IS_CONCEPT])="IS_CONCEPT"</f>
        <v>0</v>
      </c>
      <c r="R303" s="8" t="b">
        <f>_xlfn.XLOOKUP(CONTROL[[#This Row],[VEHIDCODE]],PROPERTIES[VEHIDCODE],PROPERTIES[EXCLUDE])</f>
        <v>0</v>
      </c>
    </row>
    <row r="304" spans="1:18">
      <c r="A304" s="2" t="s">
        <v>3018</v>
      </c>
      <c r="B304" s="26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7" t="s">
        <v>2301</v>
      </c>
      <c r="G304" t="s">
        <v>2270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6" t="str">
        <f>"item_"&amp;CONTROL[[#This Row],[VEHIDCODE]]</f>
        <v>item_mtro_GEC_Alsthom_Paris_MP55</v>
      </c>
      <c r="P304" s="26" t="str">
        <f>"str_"&amp;CONTROL[[#This Row],[VEHIDCODE]]</f>
        <v>str_mtro_GEC_Alsthom_Paris_MP55</v>
      </c>
      <c r="Q304" s="8" t="b">
        <f>_xlfn.XLOOKUP(CONTROL[[#This Row],[VEHIDCODE]],PROPERTIES[VEHIDCODE],PROPERTIES[IS_CONCEPT])="IS_CONCEPT"</f>
        <v>0</v>
      </c>
      <c r="R304" s="8" t="b">
        <f>_xlfn.XLOOKUP(CONTROL[[#This Row],[VEHIDCODE]],PROPERTIES[VEHIDCODE],PROPERTIES[EXCLUDE])</f>
        <v>0</v>
      </c>
    </row>
    <row r="305" spans="1:18">
      <c r="A305" s="2" t="s">
        <v>3019</v>
      </c>
      <c r="B305" s="26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7" t="s">
        <v>2272</v>
      </c>
      <c r="G305" t="s">
        <v>1372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6" t="str">
        <f>"item_"&amp;CONTROL[[#This Row],[VEHIDCODE]]</f>
        <v>item_mtro_LHB_Lisbon_ML7</v>
      </c>
      <c r="P305" s="26" t="str">
        <f>"str_"&amp;CONTROL[[#This Row],[VEHIDCODE]]</f>
        <v>str_mtro_LHB_Lisbon_ML7</v>
      </c>
      <c r="Q305" s="8" t="b">
        <f>_xlfn.XLOOKUP(CONTROL[[#This Row],[VEHIDCODE]],PROPERTIES[VEHIDCODE],PROPERTIES[IS_CONCEPT])="IS_CONCEPT"</f>
        <v>0</v>
      </c>
      <c r="R305" s="8" t="b">
        <f>_xlfn.XLOOKUP(CONTROL[[#This Row],[VEHIDCODE]],PROPERTIES[VEHIDCODE],PROPERTIES[EXCLUDE])</f>
        <v>0</v>
      </c>
    </row>
    <row r="306" spans="1:18">
      <c r="A306" s="2" t="s">
        <v>3020</v>
      </c>
      <c r="B306" s="26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7" t="s">
        <v>3639</v>
      </c>
      <c r="G306" t="s">
        <v>3640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6" t="str">
        <f>"item_"&amp;CONTROL[[#This Row],[VEHIDCODE]]</f>
        <v>item_mtro_MMZ_Budapest_Ev3</v>
      </c>
      <c r="P306" s="26" t="str">
        <f>"str_"&amp;CONTROL[[#This Row],[VEHIDCODE]]</f>
        <v>str_mtro_MMZ_Budapest_Ev3</v>
      </c>
      <c r="Q306" s="8" t="b">
        <f>_xlfn.XLOOKUP(CONTROL[[#This Row],[VEHIDCODE]],PROPERTIES[VEHIDCODE],PROPERTIES[IS_CONCEPT])="IS_CONCEPT"</f>
        <v>0</v>
      </c>
      <c r="R306" s="8" t="b">
        <f>_xlfn.XLOOKUP(CONTROL[[#This Row],[VEHIDCODE]],PROPERTIES[VEHIDCODE],PROPERTIES[EXCLUDE])</f>
        <v>0</v>
      </c>
    </row>
    <row r="307" spans="1:18">
      <c r="A307" s="2" t="s">
        <v>3021</v>
      </c>
      <c r="B307" s="26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7" t="s">
        <v>2273</v>
      </c>
      <c r="G307" t="s">
        <v>1373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6" t="str">
        <f>"item_"&amp;CONTROL[[#This Row],[VEHIDCODE]]</f>
        <v>item_mtro_Strommens_Oslo_T1000</v>
      </c>
      <c r="P307" s="26" t="str">
        <f>"str_"&amp;CONTROL[[#This Row],[VEHIDCODE]]</f>
        <v>str_mtro_Strommens_Oslo_T1000</v>
      </c>
      <c r="Q307" s="8" t="b">
        <f>_xlfn.XLOOKUP(CONTROL[[#This Row],[VEHIDCODE]],PROPERTIES[VEHIDCODE],PROPERTIES[IS_CONCEPT])="IS_CONCEPT"</f>
        <v>0</v>
      </c>
      <c r="R307" s="8" t="b">
        <f>_xlfn.XLOOKUP(CONTROL[[#This Row],[VEHIDCODE]],PROPERTIES[VEHIDCODE],PROPERTIES[EXCLUDE])</f>
        <v>0</v>
      </c>
    </row>
    <row r="308" spans="1:18">
      <c r="A308" s="2" t="s">
        <v>3022</v>
      </c>
      <c r="B308" s="26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7" t="s">
        <v>2274</v>
      </c>
      <c r="G308" t="s">
        <v>1374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6" t="str">
        <f>"item_"&amp;CONTROL[[#This Row],[VEHIDCODE]]</f>
        <v>item_mtro_Hawker_Siddeley_Toronto_H1</v>
      </c>
      <c r="P308" s="26" t="str">
        <f>"str_"&amp;CONTROL[[#This Row],[VEHIDCODE]]</f>
        <v>str_mtro_Hawker_Siddeley_Toronto_H1</v>
      </c>
      <c r="Q308" s="8" t="b">
        <f>_xlfn.XLOOKUP(CONTROL[[#This Row],[VEHIDCODE]],PROPERTIES[VEHIDCODE],PROPERTIES[IS_CONCEPT])="IS_CONCEPT"</f>
        <v>0</v>
      </c>
      <c r="R308" s="8" t="b">
        <f>_xlfn.XLOOKUP(CONTROL[[#This Row],[VEHIDCODE]],PROPERTIES[VEHIDCODE],PROPERTIES[EXCLUDE])</f>
        <v>0</v>
      </c>
    </row>
    <row r="309" spans="1:18">
      <c r="A309" s="2" t="s">
        <v>3023</v>
      </c>
      <c r="B309" s="26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7" t="s">
        <v>2275</v>
      </c>
      <c r="G309" t="s">
        <v>1375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6" t="str">
        <f>"item_"&amp;CONTROL[[#This Row],[VEHIDCODE]]</f>
        <v>item_mtro_MAN_Munchen_MVG_A2</v>
      </c>
      <c r="P309" s="26" t="str">
        <f>"str_"&amp;CONTROL[[#This Row],[VEHIDCODE]]</f>
        <v>str_mtro_MAN_Munchen_MVG_A2</v>
      </c>
      <c r="Q309" s="8" t="b">
        <f>_xlfn.XLOOKUP(CONTROL[[#This Row],[VEHIDCODE]],PROPERTIES[VEHIDCODE],PROPERTIES[IS_CONCEPT])="IS_CONCEPT"</f>
        <v>0</v>
      </c>
      <c r="R309" s="8" t="b">
        <f>_xlfn.XLOOKUP(CONTROL[[#This Row],[VEHIDCODE]],PROPERTIES[VEHIDCODE],PROPERTIES[EXCLUDE])</f>
        <v>0</v>
      </c>
    </row>
    <row r="310" spans="1:18">
      <c r="A310" s="2" t="s">
        <v>3024</v>
      </c>
      <c r="B310" s="26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7" t="s">
        <v>2276</v>
      </c>
      <c r="G310" t="s">
        <v>1376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6" t="str">
        <f>"item_"&amp;CONTROL[[#This Row],[VEHIDCODE]]</f>
        <v>item_mtro_St__Louis_Car_Co_New_York_R44</v>
      </c>
      <c r="P310" s="26" t="str">
        <f>"str_"&amp;CONTROL[[#This Row],[VEHIDCODE]]</f>
        <v>str_mtro_St__Louis_Car_Co_New_York_R44</v>
      </c>
      <c r="Q310" s="8" t="b">
        <f>_xlfn.XLOOKUP(CONTROL[[#This Row],[VEHIDCODE]],PROPERTIES[VEHIDCODE],PROPERTIES[IS_CONCEPT])="IS_CONCEPT"</f>
        <v>0</v>
      </c>
      <c r="R310" s="8" t="b">
        <f>_xlfn.XLOOKUP(CONTROL[[#This Row],[VEHIDCODE]],PROPERTIES[VEHIDCODE],PROPERTIES[EXCLUDE])</f>
        <v>0</v>
      </c>
    </row>
    <row r="311" spans="1:18">
      <c r="A311" s="2" t="s">
        <v>3025</v>
      </c>
      <c r="B311" s="26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7" t="s">
        <v>2277</v>
      </c>
      <c r="G311" t="s">
        <v>1377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6" t="str">
        <f>"item_"&amp;CONTROL[[#This Row],[VEHIDCODE]]</f>
        <v>item_mtro_LHB_Amsterdam_M1</v>
      </c>
      <c r="P311" s="26" t="str">
        <f>"str_"&amp;CONTROL[[#This Row],[VEHIDCODE]]</f>
        <v>str_mtro_LHB_Amsterdam_M1</v>
      </c>
      <c r="Q311" s="8" t="b">
        <f>_xlfn.XLOOKUP(CONTROL[[#This Row],[VEHIDCODE]],PROPERTIES[VEHIDCODE],PROPERTIES[IS_CONCEPT])="IS_CONCEPT"</f>
        <v>0</v>
      </c>
      <c r="R311" s="8" t="b">
        <f>_xlfn.XLOOKUP(CONTROL[[#This Row],[VEHIDCODE]],PROPERTIES[VEHIDCODE],PROPERTIES[EXCLUDE])</f>
        <v>0</v>
      </c>
    </row>
    <row r="312" spans="1:18">
      <c r="A312" s="2" t="s">
        <v>3026</v>
      </c>
      <c r="B312" s="26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7" t="s">
        <v>2649</v>
      </c>
      <c r="G312" t="s">
        <v>1378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6" t="str">
        <f>"item_"&amp;CONTROL[[#This Row],[VEHIDCODE]]</f>
        <v>item_mtro_ASEA_Stockholm_C8</v>
      </c>
      <c r="P312" s="26" t="str">
        <f>"str_"&amp;CONTROL[[#This Row],[VEHIDCODE]]</f>
        <v>str_mtro_ASEA_Stockholm_C8</v>
      </c>
      <c r="Q312" s="8" t="b">
        <f>_xlfn.XLOOKUP(CONTROL[[#This Row],[VEHIDCODE]],PROPERTIES[VEHIDCODE],PROPERTIES[IS_CONCEPT])="IS_CONCEPT"</f>
        <v>0</v>
      </c>
      <c r="R312" s="8" t="b">
        <f>_xlfn.XLOOKUP(CONTROL[[#This Row],[VEHIDCODE]],PROPERTIES[VEHIDCODE],PROPERTIES[EXCLUDE])</f>
        <v>0</v>
      </c>
    </row>
    <row r="313" spans="1:18">
      <c r="A313" s="2" t="s">
        <v>3027</v>
      </c>
      <c r="B313" s="26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7" t="s">
        <v>3638</v>
      </c>
      <c r="G313" t="s">
        <v>1379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6" t="str">
        <f>"item_"&amp;CONTROL[[#This Row],[VEHIDCODE]]</f>
        <v>item_mtro_AEG_Pyongyang_D</v>
      </c>
      <c r="P313" s="26" t="str">
        <f>"str_"&amp;CONTROL[[#This Row],[VEHIDCODE]]</f>
        <v>str_mtro_AEG_Pyongyang_D</v>
      </c>
      <c r="Q313" s="8" t="b">
        <f>_xlfn.XLOOKUP(CONTROL[[#This Row],[VEHIDCODE]],PROPERTIES[VEHIDCODE],PROPERTIES[IS_CONCEPT])="IS_CONCEPT"</f>
        <v>0</v>
      </c>
      <c r="R313" s="8" t="b">
        <f>_xlfn.XLOOKUP(CONTROL[[#This Row],[VEHIDCODE]],PROPERTIES[VEHIDCODE],PROPERTIES[EXCLUDE])</f>
        <v>0</v>
      </c>
    </row>
    <row r="314" spans="1:18">
      <c r="A314" s="2" t="s">
        <v>3028</v>
      </c>
      <c r="B314" s="26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7" t="s">
        <v>2278</v>
      </c>
      <c r="G314" t="s">
        <v>1380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6" t="str">
        <f>"item_"&amp;CONTROL[[#This Row],[VEHIDCODE]]</f>
        <v>item_mtro_Valmet_Helsinki_M100</v>
      </c>
      <c r="P314" s="26" t="str">
        <f>"str_"&amp;CONTROL[[#This Row],[VEHIDCODE]]</f>
        <v>str_mtro_Valmet_Helsinki_M100</v>
      </c>
      <c r="Q314" s="8" t="b">
        <f>_xlfn.XLOOKUP(CONTROL[[#This Row],[VEHIDCODE]],PROPERTIES[VEHIDCODE],PROPERTIES[IS_CONCEPT])="IS_CONCEPT"</f>
        <v>0</v>
      </c>
      <c r="R314" s="8" t="b">
        <f>_xlfn.XLOOKUP(CONTROL[[#This Row],[VEHIDCODE]],PROPERTIES[VEHIDCODE],PROPERTIES[EXCLUDE])</f>
        <v>0</v>
      </c>
    </row>
    <row r="315" spans="1:18">
      <c r="A315" s="2" t="s">
        <v>3029</v>
      </c>
      <c r="B315" s="26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7" t="s">
        <v>2279</v>
      </c>
      <c r="G315" t="s">
        <v>1381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6" t="str">
        <f>"item_"&amp;CONTROL[[#This Row],[VEHIDCODE]]</f>
        <v>item_mtro_Sorefame_Sao_Paulo_Serie_5500</v>
      </c>
      <c r="P315" s="26" t="str">
        <f>"str_"&amp;CONTROL[[#This Row],[VEHIDCODE]]</f>
        <v>str_mtro_Sorefame_Sao_Paulo_Serie_5500</v>
      </c>
      <c r="Q315" s="8" t="b">
        <f>_xlfn.XLOOKUP(CONTROL[[#This Row],[VEHIDCODE]],PROPERTIES[VEHIDCODE],PROPERTIES[IS_CONCEPT])="IS_CONCEPT"</f>
        <v>0</v>
      </c>
      <c r="R315" s="8" t="b">
        <f>_xlfn.XLOOKUP(CONTROL[[#This Row],[VEHIDCODE]],PROPERTIES[VEHIDCODE],PROPERTIES[EXCLUDE])</f>
        <v>0</v>
      </c>
    </row>
    <row r="316" spans="1:18">
      <c r="A316" s="2" t="s">
        <v>3030</v>
      </c>
      <c r="B316" s="26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7" t="s">
        <v>3634</v>
      </c>
      <c r="G316" t="s">
        <v>1368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6" t="str">
        <f>"item_"&amp;CONTROL[[#This Row],[VEHIDCODE]]</f>
        <v>item_mtro_MMZ_Moscow_81_720</v>
      </c>
      <c r="P316" s="26" t="str">
        <f>"str_"&amp;CONTROL[[#This Row],[VEHIDCODE]]</f>
        <v>str_mtro_MMZ_Moscow_81_720</v>
      </c>
      <c r="Q316" s="8" t="b">
        <f>_xlfn.XLOOKUP(CONTROL[[#This Row],[VEHIDCODE]],PROPERTIES[VEHIDCODE],PROPERTIES[IS_CONCEPT])="IS_CONCEPT"</f>
        <v>0</v>
      </c>
      <c r="R316" s="8" t="b">
        <f>_xlfn.XLOOKUP(CONTROL[[#This Row],[VEHIDCODE]],PROPERTIES[VEHIDCODE],PROPERTIES[EXCLUDE])</f>
        <v>0</v>
      </c>
    </row>
    <row r="317" spans="1:18">
      <c r="A317" s="2" t="s">
        <v>3031</v>
      </c>
      <c r="B317" s="26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7" t="s">
        <v>2288</v>
      </c>
      <c r="G317" t="s">
        <v>1382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6" t="str">
        <f>"item_"&amp;CONTROL[[#This Row],[VEHIDCODE]]</f>
        <v>item_mtro_Kawasaki_Tokyo_S01</v>
      </c>
      <c r="P317" s="26" t="str">
        <f>"str_"&amp;CONTROL[[#This Row],[VEHIDCODE]]</f>
        <v>str_mtro_Kawasaki_Tokyo_S01</v>
      </c>
      <c r="Q317" s="8" t="b">
        <f>_xlfn.XLOOKUP(CONTROL[[#This Row],[VEHIDCODE]],PROPERTIES[VEHIDCODE],PROPERTIES[IS_CONCEPT])="IS_CONCEPT"</f>
        <v>0</v>
      </c>
      <c r="R317" s="8" t="b">
        <f>_xlfn.XLOOKUP(CONTROL[[#This Row],[VEHIDCODE]],PROPERTIES[VEHIDCODE],PROPERTIES[EXCLUDE])</f>
        <v>0</v>
      </c>
    </row>
    <row r="318" spans="1:18">
      <c r="A318" s="2" t="s">
        <v>3032</v>
      </c>
      <c r="B318" s="26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7" t="s">
        <v>2280</v>
      </c>
      <c r="G318" t="s">
        <v>1383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6" t="str">
        <f>"item_"&amp;CONTROL[[#This Row],[VEHIDCODE]]</f>
        <v>item_mtro_Kinki_Sharyo_Vcairo</v>
      </c>
      <c r="P318" s="26" t="str">
        <f>"str_"&amp;CONTROL[[#This Row],[VEHIDCODE]]</f>
        <v>str_mtro_Kinki_Sharyo_Vcairo</v>
      </c>
      <c r="Q318" s="8" t="b">
        <f>_xlfn.XLOOKUP(CONTROL[[#This Row],[VEHIDCODE]],PROPERTIES[VEHIDCODE],PROPERTIES[IS_CONCEPT])="IS_CONCEPT"</f>
        <v>0</v>
      </c>
      <c r="R318" s="8" t="b">
        <f>_xlfn.XLOOKUP(CONTROL[[#This Row],[VEHIDCODE]],PROPERTIES[VEHIDCODE],PROPERTIES[EXCLUDE])</f>
        <v>0</v>
      </c>
    </row>
    <row r="319" spans="1:18">
      <c r="A319" s="2" t="s">
        <v>3033</v>
      </c>
      <c r="B319" s="26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7" t="s">
        <v>2281</v>
      </c>
      <c r="G319" t="s">
        <v>1384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6" t="str">
        <f>"item_"&amp;CONTROL[[#This Row],[VEHIDCODE]]</f>
        <v>item_mtro_LHB_London_DLR_P86</v>
      </c>
      <c r="P319" s="26" t="str">
        <f>"str_"&amp;CONTROL[[#This Row],[VEHIDCODE]]</f>
        <v>str_mtro_LHB_London_DLR_P86</v>
      </c>
      <c r="Q319" s="8" t="b">
        <f>_xlfn.XLOOKUP(CONTROL[[#This Row],[VEHIDCODE]],PROPERTIES[VEHIDCODE],PROPERTIES[IS_CONCEPT])="IS_CONCEPT"</f>
        <v>0</v>
      </c>
      <c r="R319" s="8" t="b">
        <f>_xlfn.XLOOKUP(CONTROL[[#This Row],[VEHIDCODE]],PROPERTIES[VEHIDCODE],PROPERTIES[EXCLUDE])</f>
        <v>0</v>
      </c>
    </row>
    <row r="320" spans="1:18">
      <c r="A320" s="2" t="s">
        <v>3034</v>
      </c>
      <c r="B320" s="26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7" t="s">
        <v>3635</v>
      </c>
      <c r="G320" t="s">
        <v>1385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6" t="str">
        <f>"item_"&amp;CONTROL[[#This Row],[VEHIDCODE]]</f>
        <v>item_mtro_MMZ_Moscow_81_717_5M</v>
      </c>
      <c r="P320" s="26" t="str">
        <f>"str_"&amp;CONTROL[[#This Row],[VEHIDCODE]]</f>
        <v>str_mtro_MMZ_Moscow_81_717_5M</v>
      </c>
      <c r="Q320" s="8" t="b">
        <f>_xlfn.XLOOKUP(CONTROL[[#This Row],[VEHIDCODE]],PROPERTIES[VEHIDCODE],PROPERTIES[IS_CONCEPT])="IS_CONCEPT"</f>
        <v>0</v>
      </c>
      <c r="R320" s="8" t="b">
        <f>_xlfn.XLOOKUP(CONTROL[[#This Row],[VEHIDCODE]],PROPERTIES[VEHIDCODE],PROPERTIES[EXCLUDE])</f>
        <v>0</v>
      </c>
    </row>
    <row r="321" spans="1:18">
      <c r="A321" s="2" t="s">
        <v>3035</v>
      </c>
      <c r="B321" s="26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7" t="s">
        <v>2282</v>
      </c>
      <c r="G321" t="s">
        <v>1386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6" t="str">
        <f>"item_"&amp;CONTROL[[#This Row],[VEHIDCODE]]</f>
        <v>item_mtro_Bombardier_Boston_01800</v>
      </c>
      <c r="P321" s="26" t="str">
        <f>"str_"&amp;CONTROL[[#This Row],[VEHIDCODE]]</f>
        <v>str_mtro_Bombardier_Boston_01800</v>
      </c>
      <c r="Q321" s="8" t="b">
        <f>_xlfn.XLOOKUP(CONTROL[[#This Row],[VEHIDCODE]],PROPERTIES[VEHIDCODE],PROPERTIES[IS_CONCEPT])="IS_CONCEPT"</f>
        <v>0</v>
      </c>
      <c r="R321" s="8" t="b">
        <f>_xlfn.XLOOKUP(CONTROL[[#This Row],[VEHIDCODE]],PROPERTIES[VEHIDCODE],PROPERTIES[EXCLUDE])</f>
        <v>0</v>
      </c>
    </row>
    <row r="322" spans="1:18">
      <c r="A322" s="2" t="s">
        <v>3036</v>
      </c>
      <c r="B322" s="26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7" t="s">
        <v>2283</v>
      </c>
      <c r="G322" t="s">
        <v>1387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6" t="str">
        <f>"item_"&amp;CONTROL[[#This Row],[VEHIDCODE]]</f>
        <v>item_mtro_Breda_LA_A650</v>
      </c>
      <c r="P322" s="26" t="str">
        <f>"str_"&amp;CONTROL[[#This Row],[VEHIDCODE]]</f>
        <v>str_mtro_Breda_LA_A650</v>
      </c>
      <c r="Q322" s="8" t="b">
        <f>_xlfn.XLOOKUP(CONTROL[[#This Row],[VEHIDCODE]],PROPERTIES[VEHIDCODE],PROPERTIES[IS_CONCEPT])="IS_CONCEPT"</f>
        <v>0</v>
      </c>
      <c r="R322" s="8" t="b">
        <f>_xlfn.XLOOKUP(CONTROL[[#This Row],[VEHIDCODE]],PROPERTIES[VEHIDCODE],PROPERTIES[EXCLUDE])</f>
        <v>0</v>
      </c>
    </row>
    <row r="323" spans="1:18">
      <c r="A323" s="2" t="s">
        <v>3037</v>
      </c>
      <c r="B323" s="26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7" t="s">
        <v>2284</v>
      </c>
      <c r="G323" t="s">
        <v>1388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6" t="str">
        <f>"item_"&amp;CONTROL[[#This Row],[VEHIDCODE]]</f>
        <v>item_mtro_Kawasaki_Taipei_C301</v>
      </c>
      <c r="P323" s="26" t="str">
        <f>"str_"&amp;CONTROL[[#This Row],[VEHIDCODE]]</f>
        <v>str_mtro_Kawasaki_Taipei_C301</v>
      </c>
      <c r="Q323" s="8" t="b">
        <f>_xlfn.XLOOKUP(CONTROL[[#This Row],[VEHIDCODE]],PROPERTIES[VEHIDCODE],PROPERTIES[IS_CONCEPT])="IS_CONCEPT"</f>
        <v>0</v>
      </c>
      <c r="R323" s="8" t="b">
        <f>_xlfn.XLOOKUP(CONTROL[[#This Row],[VEHIDCODE]],PROPERTIES[VEHIDCODE],PROPERTIES[EXCLUDE])</f>
        <v>0</v>
      </c>
    </row>
    <row r="324" spans="1:18">
      <c r="A324" s="2" t="s">
        <v>3038</v>
      </c>
      <c r="B324" s="26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7" t="s">
        <v>2285</v>
      </c>
      <c r="G324" t="s">
        <v>1389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6" t="str">
        <f>"item_"&amp;CONTROL[[#This Row],[VEHIDCODE]]</f>
        <v>item_mtro_CAF_Amsterdam_S3_90</v>
      </c>
      <c r="P324" s="26" t="str">
        <f>"str_"&amp;CONTROL[[#This Row],[VEHIDCODE]]</f>
        <v>str_mtro_CAF_Amsterdam_S3_90</v>
      </c>
      <c r="Q324" s="8" t="b">
        <f>_xlfn.XLOOKUP(CONTROL[[#This Row],[VEHIDCODE]],PROPERTIES[VEHIDCODE],PROPERTIES[IS_CONCEPT])="IS_CONCEPT"</f>
        <v>0</v>
      </c>
      <c r="R324" s="8" t="b">
        <f>_xlfn.XLOOKUP(CONTROL[[#This Row],[VEHIDCODE]],PROPERTIES[VEHIDCODE],PROPERTIES[EXCLUDE])</f>
        <v>0</v>
      </c>
    </row>
    <row r="325" spans="1:18">
      <c r="A325" s="2" t="s">
        <v>3039</v>
      </c>
      <c r="B325" s="26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7" t="s">
        <v>2302</v>
      </c>
      <c r="G325" t="s">
        <v>1390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6" t="str">
        <f>"item_"&amp;CONTROL[[#This Row],[VEHIDCODE]]</f>
        <v>item_mtro_GEC_Alsthom_Paris_MP89</v>
      </c>
      <c r="P325" s="26" t="str">
        <f>"str_"&amp;CONTROL[[#This Row],[VEHIDCODE]]</f>
        <v>str_mtro_GEC_Alsthom_Paris_MP89</v>
      </c>
      <c r="Q325" s="8" t="b">
        <f>_xlfn.XLOOKUP(CONTROL[[#This Row],[VEHIDCODE]],PROPERTIES[VEHIDCODE],PROPERTIES[IS_CONCEPT])="IS_CONCEPT"</f>
        <v>0</v>
      </c>
      <c r="R325" s="8" t="b">
        <f>_xlfn.XLOOKUP(CONTROL[[#This Row],[VEHIDCODE]],PROPERTIES[VEHIDCODE],PROPERTIES[EXCLUDE])</f>
        <v>0</v>
      </c>
    </row>
    <row r="326" spans="1:18">
      <c r="A326" s="2" t="s">
        <v>3040</v>
      </c>
      <c r="B326" s="26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7" t="s">
        <v>3636</v>
      </c>
      <c r="G326" t="s">
        <v>1391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6" t="str">
        <f>"item_"&amp;CONTROL[[#This Row],[VEHIDCODE]]</f>
        <v>item_mtro_MMZ_Moscow_81_740</v>
      </c>
      <c r="P326" s="26" t="str">
        <f>"str_"&amp;CONTROL[[#This Row],[VEHIDCODE]]</f>
        <v>str_mtro_MMZ_Moscow_81_740</v>
      </c>
      <c r="Q326" s="8" t="b">
        <f>_xlfn.XLOOKUP(CONTROL[[#This Row],[VEHIDCODE]],PROPERTIES[VEHIDCODE],PROPERTIES[IS_CONCEPT])="IS_CONCEPT"</f>
        <v>0</v>
      </c>
      <c r="R326" s="8" t="b">
        <f>_xlfn.XLOOKUP(CONTROL[[#This Row],[VEHIDCODE]],PROPERTIES[VEHIDCODE],PROPERTIES[EXCLUDE])</f>
        <v>0</v>
      </c>
    </row>
    <row r="327" spans="1:18">
      <c r="A327" s="2" t="s">
        <v>3041</v>
      </c>
      <c r="B327" s="26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7" t="s">
        <v>2286</v>
      </c>
      <c r="G327" t="s">
        <v>1392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6" t="str">
        <f>"item_"&amp;CONTROL[[#This Row],[VEHIDCODE]]</f>
        <v>item_mtro_Alstom_Singapore_C830_Metropolis</v>
      </c>
      <c r="P327" s="26" t="str">
        <f>"str_"&amp;CONTROL[[#This Row],[VEHIDCODE]]</f>
        <v>str_mtro_Alstom_Singapore_C830_Metropolis</v>
      </c>
      <c r="Q327" s="8" t="b">
        <f>_xlfn.XLOOKUP(CONTROL[[#This Row],[VEHIDCODE]],PROPERTIES[VEHIDCODE],PROPERTIES[IS_CONCEPT])="IS_CONCEPT"</f>
        <v>0</v>
      </c>
      <c r="R327" s="8" t="b">
        <f>_xlfn.XLOOKUP(CONTROL[[#This Row],[VEHIDCODE]],PROPERTIES[VEHIDCODE],PROPERTIES[EXCLUDE])</f>
        <v>1</v>
      </c>
    </row>
    <row r="328" spans="1:18">
      <c r="A328" s="2" t="s">
        <v>3042</v>
      </c>
      <c r="B328" s="26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7" t="s">
        <v>2287</v>
      </c>
      <c r="G328" t="s">
        <v>1393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6" t="str">
        <f>"item_"&amp;CONTROL[[#This Row],[VEHIDCODE]]</f>
        <v>item_mtro_Siemens_Oslo_MX3000</v>
      </c>
      <c r="P328" s="26" t="str">
        <f>"str_"&amp;CONTROL[[#This Row],[VEHIDCODE]]</f>
        <v>str_mtro_Siemens_Oslo_MX3000</v>
      </c>
      <c r="Q328" s="8" t="b">
        <f>_xlfn.XLOOKUP(CONTROL[[#This Row],[VEHIDCODE]],PROPERTIES[VEHIDCODE],PROPERTIES[IS_CONCEPT])="IS_CONCEPT"</f>
        <v>0</v>
      </c>
      <c r="R328" s="8" t="b">
        <f>_xlfn.XLOOKUP(CONTROL[[#This Row],[VEHIDCODE]],PROPERTIES[VEHIDCODE],PROPERTIES[EXCLUDE])</f>
        <v>0</v>
      </c>
    </row>
    <row r="329" spans="1:18">
      <c r="A329" s="2" t="s">
        <v>3043</v>
      </c>
      <c r="B329" s="26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7" t="s">
        <v>2289</v>
      </c>
      <c r="G329" t="s">
        <v>1394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6" t="str">
        <f>"item_"&amp;CONTROL[[#This Row],[VEHIDCODE]]</f>
        <v>item_mtro_Kawasaki_Osaka_30000</v>
      </c>
      <c r="P329" s="26" t="str">
        <f>"str_"&amp;CONTROL[[#This Row],[VEHIDCODE]]</f>
        <v>str_mtro_Kawasaki_Osaka_30000</v>
      </c>
      <c r="Q329" s="8" t="b">
        <f>_xlfn.XLOOKUP(CONTROL[[#This Row],[VEHIDCODE]],PROPERTIES[VEHIDCODE],PROPERTIES[IS_CONCEPT])="IS_CONCEPT"</f>
        <v>0</v>
      </c>
      <c r="R329" s="8" t="b">
        <f>_xlfn.XLOOKUP(CONTROL[[#This Row],[VEHIDCODE]],PROPERTIES[VEHIDCODE],PROPERTIES[EXCLUDE])</f>
        <v>0</v>
      </c>
    </row>
    <row r="330" spans="1:18">
      <c r="A330" s="2" t="s">
        <v>3044</v>
      </c>
      <c r="B330" s="26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7" t="s">
        <v>2290</v>
      </c>
      <c r="G330" t="s">
        <v>1395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6" t="str">
        <f>"item_"&amp;CONTROL[[#This Row],[VEHIDCODE]]</f>
        <v>item_mtro_Kawasaki_Singapore_C151A</v>
      </c>
      <c r="P330" s="26" t="str">
        <f>"str_"&amp;CONTROL[[#This Row],[VEHIDCODE]]</f>
        <v>str_mtro_Kawasaki_Singapore_C151A</v>
      </c>
      <c r="Q330" s="8" t="b">
        <f>_xlfn.XLOOKUP(CONTROL[[#This Row],[VEHIDCODE]],PROPERTIES[VEHIDCODE],PROPERTIES[IS_CONCEPT])="IS_CONCEPT"</f>
        <v>0</v>
      </c>
      <c r="R330" s="8" t="b">
        <f>_xlfn.XLOOKUP(CONTROL[[#This Row],[VEHIDCODE]],PROPERTIES[VEHIDCODE],PROPERTIES[EXCLUDE])</f>
        <v>0</v>
      </c>
    </row>
    <row r="331" spans="1:18">
      <c r="A331" s="2" t="s">
        <v>3045</v>
      </c>
      <c r="B331" s="26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7" t="s">
        <v>2291</v>
      </c>
      <c r="G331" t="s">
        <v>1396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6" t="str">
        <f>"item_"&amp;CONTROL[[#This Row],[VEHIDCODE]]</f>
        <v>item_mtro_Kawasaki_Washington_7000</v>
      </c>
      <c r="P331" s="26" t="str">
        <f>"str_"&amp;CONTROL[[#This Row],[VEHIDCODE]]</f>
        <v>str_mtro_Kawasaki_Washington_7000</v>
      </c>
      <c r="Q331" s="8" t="b">
        <f>_xlfn.XLOOKUP(CONTROL[[#This Row],[VEHIDCODE]],PROPERTIES[VEHIDCODE],PROPERTIES[IS_CONCEPT])="IS_CONCEPT"</f>
        <v>0</v>
      </c>
      <c r="R331" s="8" t="b">
        <f>_xlfn.XLOOKUP(CONTROL[[#This Row],[VEHIDCODE]],PROPERTIES[VEHIDCODE],PROPERTIES[EXCLUDE])</f>
        <v>0</v>
      </c>
    </row>
    <row r="332" spans="1:18">
      <c r="A332" s="2" t="s">
        <v>3046</v>
      </c>
      <c r="B332" s="26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7" t="s">
        <v>2292</v>
      </c>
      <c r="G332" t="s">
        <v>1397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6" t="str">
        <f>"item_"&amp;CONTROL[[#This Row],[VEHIDCODE]]</f>
        <v>item_mtro_Hitachi_Thessaloniki_2014</v>
      </c>
      <c r="P332" s="26" t="str">
        <f>"str_"&amp;CONTROL[[#This Row],[VEHIDCODE]]</f>
        <v>str_mtro_Hitachi_Thessaloniki_2014</v>
      </c>
      <c r="Q332" s="8" t="b">
        <f>_xlfn.XLOOKUP(CONTROL[[#This Row],[VEHIDCODE]],PROPERTIES[VEHIDCODE],PROPERTIES[IS_CONCEPT])="IS_CONCEPT"</f>
        <v>0</v>
      </c>
      <c r="R332" s="8" t="b">
        <f>_xlfn.XLOOKUP(CONTROL[[#This Row],[VEHIDCODE]],PROPERTIES[VEHIDCODE],PROPERTIES[EXCLUDE])</f>
        <v>0</v>
      </c>
    </row>
    <row r="333" spans="1:18">
      <c r="A333" s="2" t="s">
        <v>3047</v>
      </c>
      <c r="B333" s="26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7" t="s">
        <v>2293</v>
      </c>
      <c r="G333" t="s">
        <v>1398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6" t="str">
        <f>"item_"&amp;CONTROL[[#This Row],[VEHIDCODE]]</f>
        <v>item_mtro_AEG_Berlin_U_Bahn_A_I</v>
      </c>
      <c r="P333" s="26" t="str">
        <f>"str_"&amp;CONTROL[[#This Row],[VEHIDCODE]]</f>
        <v>str_mtro_AEG_Berlin_U_Bahn_A_I</v>
      </c>
      <c r="Q333" s="8" t="b">
        <f>_xlfn.XLOOKUP(CONTROL[[#This Row],[VEHIDCODE]],PROPERTIES[VEHIDCODE],PROPERTIES[IS_CONCEPT])="IS_CONCEPT"</f>
        <v>0</v>
      </c>
      <c r="R333" s="8" t="b">
        <f>_xlfn.XLOOKUP(CONTROL[[#This Row],[VEHIDCODE]],PROPERTIES[VEHIDCODE],PROPERTIES[EXCLUDE])</f>
        <v>0</v>
      </c>
    </row>
    <row r="334" spans="1:18">
      <c r="A334" s="2" t="s">
        <v>3048</v>
      </c>
      <c r="B334" s="26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7" t="s">
        <v>2294</v>
      </c>
      <c r="G334" t="s">
        <v>1399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6" t="str">
        <f>"item_"&amp;CONTROL[[#This Row],[VEHIDCODE]]</f>
        <v>item_mtro_ACF_New_York_Hedley_Hi_V</v>
      </c>
      <c r="P334" s="26" t="str">
        <f>"str_"&amp;CONTROL[[#This Row],[VEHIDCODE]]</f>
        <v>str_mtro_ACF_New_York_Hedley_Hi_V</v>
      </c>
      <c r="Q334" s="8" t="b">
        <f>_xlfn.XLOOKUP(CONTROL[[#This Row],[VEHIDCODE]],PROPERTIES[VEHIDCODE],PROPERTIES[IS_CONCEPT])="IS_CONCEPT"</f>
        <v>0</v>
      </c>
      <c r="R334" s="8" t="b">
        <f>_xlfn.XLOOKUP(CONTROL[[#This Row],[VEHIDCODE]],PROPERTIES[VEHIDCODE],PROPERTIES[EXCLUDE])</f>
        <v>0</v>
      </c>
    </row>
    <row r="335" spans="1:18">
      <c r="A335" s="2" t="s">
        <v>3049</v>
      </c>
      <c r="B335" s="26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7" t="s">
        <v>2295</v>
      </c>
      <c r="G335" t="s">
        <v>1400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6" t="str">
        <f>"item_"&amp;CONTROL[[#This Row],[VEHIDCODE]]</f>
        <v>item_mtro_Kawasaki_Osaka_1000</v>
      </c>
      <c r="P335" s="26" t="str">
        <f>"str_"&amp;CONTROL[[#This Row],[VEHIDCODE]]</f>
        <v>str_mtro_Kawasaki_Osaka_1000</v>
      </c>
      <c r="Q335" s="8" t="b">
        <f>_xlfn.XLOOKUP(CONTROL[[#This Row],[VEHIDCODE]],PROPERTIES[VEHIDCODE],PROPERTIES[IS_CONCEPT])="IS_CONCEPT"</f>
        <v>0</v>
      </c>
      <c r="R335" s="8" t="b">
        <f>_xlfn.XLOOKUP(CONTROL[[#This Row],[VEHIDCODE]],PROPERTIES[VEHIDCODE],PROPERTIES[EXCLUDE])</f>
        <v>0</v>
      </c>
    </row>
    <row r="336" spans="1:18">
      <c r="A336" s="2" t="s">
        <v>3050</v>
      </c>
      <c r="B336" s="26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7" t="s">
        <v>3637</v>
      </c>
      <c r="G336" t="s">
        <v>1401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6" t="str">
        <f>"item_"&amp;CONTROL[[#This Row],[VEHIDCODE]]</f>
        <v>item_mtro_MMZ_Moscow_Type_A</v>
      </c>
      <c r="P336" s="26" t="str">
        <f>"str_"&amp;CONTROL[[#This Row],[VEHIDCODE]]</f>
        <v>str_mtro_MMZ_Moscow_Type_A</v>
      </c>
      <c r="Q336" s="8" t="b">
        <f>_xlfn.XLOOKUP(CONTROL[[#This Row],[VEHIDCODE]],PROPERTIES[VEHIDCODE],PROPERTIES[IS_CONCEPT])="IS_CONCEPT"</f>
        <v>0</v>
      </c>
      <c r="R336" s="8" t="b">
        <f>_xlfn.XLOOKUP(CONTROL[[#This Row],[VEHIDCODE]],PROPERTIES[VEHIDCODE],PROPERTIES[EXCLUDE])</f>
        <v>0</v>
      </c>
    </row>
    <row r="337" spans="1:18">
      <c r="A337" s="2" t="s">
        <v>3051</v>
      </c>
      <c r="B337" s="26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7" t="s">
        <v>2296</v>
      </c>
      <c r="G337" t="s">
        <v>1402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6" t="str">
        <f>"item_"&amp;CONTROL[[#This Row],[VEHIDCODE]]</f>
        <v>item_mtro_ACF_New_York_R10</v>
      </c>
      <c r="P337" s="26" t="str">
        <f>"str_"&amp;CONTROL[[#This Row],[VEHIDCODE]]</f>
        <v>str_mtro_ACF_New_York_R10</v>
      </c>
      <c r="Q337" s="8" t="b">
        <f>_xlfn.XLOOKUP(CONTROL[[#This Row],[VEHIDCODE]],PROPERTIES[VEHIDCODE],PROPERTIES[IS_CONCEPT])="IS_CONCEPT"</f>
        <v>0</v>
      </c>
      <c r="R337" s="8" t="b">
        <f>_xlfn.XLOOKUP(CONTROL[[#This Row],[VEHIDCODE]],PROPERTIES[VEHIDCODE],PROPERTIES[EXCLUDE])</f>
        <v>0</v>
      </c>
    </row>
    <row r="338" spans="1:18">
      <c r="A338" s="2" t="s">
        <v>3052</v>
      </c>
      <c r="B338" s="26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7" t="s">
        <v>2297</v>
      </c>
      <c r="G338" t="s">
        <v>1403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6" t="str">
        <f>"item_"&amp;CONTROL[[#This Row],[VEHIDCODE]]</f>
        <v>item_mtro_Stanga_Rome_MR_100</v>
      </c>
      <c r="P338" s="26" t="str">
        <f>"str_"&amp;CONTROL[[#This Row],[VEHIDCODE]]</f>
        <v>str_mtro_Stanga_Rome_MR_100</v>
      </c>
      <c r="Q338" s="8" t="b">
        <f>_xlfn.XLOOKUP(CONTROL[[#This Row],[VEHIDCODE]],PROPERTIES[VEHIDCODE],PROPERTIES[IS_CONCEPT])="IS_CONCEPT"</f>
        <v>0</v>
      </c>
      <c r="R338" s="8" t="b">
        <f>_xlfn.XLOOKUP(CONTROL[[#This Row],[VEHIDCODE]],PROPERTIES[VEHIDCODE],PROPERTIES[EXCLUDE])</f>
        <v>0</v>
      </c>
    </row>
    <row r="339" spans="1:18">
      <c r="A339" s="2" t="s">
        <v>3053</v>
      </c>
      <c r="B339" s="26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7" t="s">
        <v>3641</v>
      </c>
      <c r="G339" t="s">
        <v>1404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6" t="str">
        <f>"item_"&amp;CONTROL[[#This Row],[VEHIDCODE]]</f>
        <v>item_mtro_MMZ_Moscow_Type_D</v>
      </c>
      <c r="P339" s="26" t="str">
        <f>"str_"&amp;CONTROL[[#This Row],[VEHIDCODE]]</f>
        <v>str_mtro_MMZ_Moscow_Type_D</v>
      </c>
      <c r="Q339" s="8" t="b">
        <f>_xlfn.XLOOKUP(CONTROL[[#This Row],[VEHIDCODE]],PROPERTIES[VEHIDCODE],PROPERTIES[IS_CONCEPT])="IS_CONCEPT"</f>
        <v>0</v>
      </c>
      <c r="R339" s="8" t="b">
        <f>_xlfn.XLOOKUP(CONTROL[[#This Row],[VEHIDCODE]],PROPERTIES[VEHIDCODE],PROPERTIES[EXCLUDE])</f>
        <v>0</v>
      </c>
    </row>
    <row r="340" spans="1:18">
      <c r="A340" s="2" t="s">
        <v>3054</v>
      </c>
      <c r="B340" s="26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7" t="s">
        <v>2298</v>
      </c>
      <c r="G340" t="s">
        <v>1405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6" t="str">
        <f>"item_"&amp;CONTROL[[#This Row],[VEHIDCODE]]</f>
        <v>item_mtro_Werkspoor_Rotterdam_MG2_Type_M</v>
      </c>
      <c r="P340" s="26" t="str">
        <f>"str_"&amp;CONTROL[[#This Row],[VEHIDCODE]]</f>
        <v>str_mtro_Werkspoor_Rotterdam_MG2_Type_M</v>
      </c>
      <c r="Q340" s="8" t="b">
        <f>_xlfn.XLOOKUP(CONTROL[[#This Row],[VEHIDCODE]],PROPERTIES[VEHIDCODE],PROPERTIES[IS_CONCEPT])="IS_CONCEPT"</f>
        <v>0</v>
      </c>
      <c r="R340" s="8" t="b">
        <f>_xlfn.XLOOKUP(CONTROL[[#This Row],[VEHIDCODE]],PROPERTIES[VEHIDCODE],PROPERTIES[EXCLUDE])</f>
        <v>0</v>
      </c>
    </row>
    <row r="341" spans="1:18">
      <c r="A341" s="2" t="s">
        <v>3055</v>
      </c>
      <c r="B341" s="26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7" t="s">
        <v>3642</v>
      </c>
      <c r="G341" t="s">
        <v>1406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6" t="str">
        <f>"item_"&amp;CONTROL[[#This Row],[VEHIDCODE]]</f>
        <v>item_mtro_MMZ_Prague_ECS_Set</v>
      </c>
      <c r="P341" s="26" t="str">
        <f>"str_"&amp;CONTROL[[#This Row],[VEHIDCODE]]</f>
        <v>str_mtro_MMZ_Prague_ECS_Set</v>
      </c>
      <c r="Q341" s="8" t="b">
        <f>_xlfn.XLOOKUP(CONTROL[[#This Row],[VEHIDCODE]],PROPERTIES[VEHIDCODE],PROPERTIES[IS_CONCEPT])="IS_CONCEPT"</f>
        <v>0</v>
      </c>
      <c r="R341" s="8" t="b">
        <f>_xlfn.XLOOKUP(CONTROL[[#This Row],[VEHIDCODE]],PROPERTIES[VEHIDCODE],PROPERTIES[EXCLUDE])</f>
        <v>1</v>
      </c>
    </row>
    <row r="342" spans="1:18">
      <c r="A342" s="2" t="s">
        <v>3056</v>
      </c>
      <c r="B342" s="26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7" t="s">
        <v>2299</v>
      </c>
      <c r="G342" t="s">
        <v>1407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6" t="str">
        <f>"item_"&amp;CONTROL[[#This Row],[VEHIDCODE]]</f>
        <v>item_mtro_Hitachi_Buenos_Aires_Serie_1200</v>
      </c>
      <c r="P342" s="26" t="str">
        <f>"str_"&amp;CONTROL[[#This Row],[VEHIDCODE]]</f>
        <v>str_mtro_Hitachi_Buenos_Aires_Serie_1200</v>
      </c>
      <c r="Q342" s="8" t="b">
        <f>_xlfn.XLOOKUP(CONTROL[[#This Row],[VEHIDCODE]],PROPERTIES[VEHIDCODE],PROPERTIES[IS_CONCEPT])="IS_CONCEPT"</f>
        <v>0</v>
      </c>
      <c r="R342" s="8" t="b">
        <f>_xlfn.XLOOKUP(CONTROL[[#This Row],[VEHIDCODE]],PROPERTIES[VEHIDCODE],PROPERTIES[EXCLUDE])</f>
        <v>0</v>
      </c>
    </row>
    <row r="343" spans="1:18">
      <c r="A343" s="2" t="s">
        <v>3057</v>
      </c>
      <c r="B343" s="26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7" t="s">
        <v>2300</v>
      </c>
      <c r="G343" t="s">
        <v>1408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6" t="str">
        <f>"item_"&amp;CONTROL[[#This Row],[VEHIDCODE]]</f>
        <v>item_mtro_GEC_Alsthom_Santiago_NS_93</v>
      </c>
      <c r="P343" s="26" t="str">
        <f>"str_"&amp;CONTROL[[#This Row],[VEHIDCODE]]</f>
        <v>str_mtro_GEC_Alsthom_Santiago_NS_93</v>
      </c>
      <c r="Q343" s="8" t="b">
        <f>_xlfn.XLOOKUP(CONTROL[[#This Row],[VEHIDCODE]],PROPERTIES[VEHIDCODE],PROPERTIES[IS_CONCEPT])="IS_CONCEPT"</f>
        <v>0</v>
      </c>
      <c r="R343" s="8" t="b">
        <f>_xlfn.XLOOKUP(CONTROL[[#This Row],[VEHIDCODE]],PROPERTIES[VEHIDCODE],PROPERTIES[EXCLUDE])</f>
        <v>0</v>
      </c>
    </row>
    <row r="344" spans="1:18">
      <c r="A344" s="2" t="s">
        <v>3058</v>
      </c>
      <c r="B344" s="26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7" t="s">
        <v>2303</v>
      </c>
      <c r="G344" t="s">
        <v>1409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6" t="str">
        <f>"item_"&amp;CONTROL[[#This Row],[VEHIDCODE]]</f>
        <v>item_mtro_Alstom_Brasil_Santiago_AS_2002</v>
      </c>
      <c r="P344" s="26" t="str">
        <f>"str_"&amp;CONTROL[[#This Row],[VEHIDCODE]]</f>
        <v>str_mtro_Alstom_Brasil_Santiago_AS_2002</v>
      </c>
      <c r="Q344" s="8" t="b">
        <f>_xlfn.XLOOKUP(CONTROL[[#This Row],[VEHIDCODE]],PROPERTIES[VEHIDCODE],PROPERTIES[IS_CONCEPT])="IS_CONCEPT"</f>
        <v>0</v>
      </c>
      <c r="R344" s="8" t="b">
        <f>_xlfn.XLOOKUP(CONTROL[[#This Row],[VEHIDCODE]],PROPERTIES[VEHIDCODE],PROPERTIES[EXCLUDE])</f>
        <v>1</v>
      </c>
    </row>
    <row r="345" spans="1:18">
      <c r="A345" s="2" t="s">
        <v>3059</v>
      </c>
      <c r="B345" s="26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7" t="s">
        <v>2304</v>
      </c>
      <c r="G345" t="s">
        <v>1410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6" t="str">
        <f>"item_"&amp;CONTROL[[#This Row],[VEHIDCODE]]</f>
        <v>item_mtro_TUDH_Recife_VLT_Mobile_3</v>
      </c>
      <c r="P345" s="26" t="str">
        <f>"str_"&amp;CONTROL[[#This Row],[VEHIDCODE]]</f>
        <v>str_mtro_TUDH_Recife_VLT_Mobile_3</v>
      </c>
      <c r="Q345" s="8" t="b">
        <f>_xlfn.XLOOKUP(CONTROL[[#This Row],[VEHIDCODE]],PROPERTIES[VEHIDCODE],PROPERTIES[IS_CONCEPT])="IS_CONCEPT"</f>
        <v>0</v>
      </c>
      <c r="R345" s="8" t="b">
        <f>_xlfn.XLOOKUP(CONTROL[[#This Row],[VEHIDCODE]],PROPERTIES[VEHIDCODE],PROPERTIES[EXCLUDE])</f>
        <v>0</v>
      </c>
    </row>
    <row r="346" spans="1:18">
      <c r="A346" s="2" t="s">
        <v>3060</v>
      </c>
      <c r="B346" s="26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7" t="s">
        <v>2305</v>
      </c>
      <c r="G346" t="s">
        <v>1411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6" t="str">
        <f>"item_"&amp;CONTROL[[#This Row],[VEHIDCODE]]</f>
        <v>item_mtro_CAF_Madrid_Series_5000</v>
      </c>
      <c r="P346" s="26" t="str">
        <f>"str_"&amp;CONTROL[[#This Row],[VEHIDCODE]]</f>
        <v>str_mtro_CAF_Madrid_Series_5000</v>
      </c>
      <c r="Q346" s="8" t="b">
        <f>_xlfn.XLOOKUP(CONTROL[[#This Row],[VEHIDCODE]],PROPERTIES[VEHIDCODE],PROPERTIES[IS_CONCEPT])="IS_CONCEPT"</f>
        <v>0</v>
      </c>
      <c r="R346" s="8" t="b">
        <f>_xlfn.XLOOKUP(CONTROL[[#This Row],[VEHIDCODE]],PROPERTIES[VEHIDCODE],PROPERTIES[EXCLUDE])</f>
        <v>0</v>
      </c>
    </row>
    <row r="347" spans="1:18">
      <c r="A347" s="2" t="s">
        <v>3061</v>
      </c>
      <c r="B347" s="26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7" t="s">
        <v>2306</v>
      </c>
      <c r="G347" t="s">
        <v>1412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6" t="str">
        <f>"item_"&amp;CONTROL[[#This Row],[VEHIDCODE]]</f>
        <v>item_mtro_CAF_Rome_S_300</v>
      </c>
      <c r="P347" s="26" t="str">
        <f>"str_"&amp;CONTROL[[#This Row],[VEHIDCODE]]</f>
        <v>str_mtro_CAF_Rome_S_300</v>
      </c>
      <c r="Q347" s="8" t="b">
        <f>_xlfn.XLOOKUP(CONTROL[[#This Row],[VEHIDCODE]],PROPERTIES[VEHIDCODE],PROPERTIES[IS_CONCEPT])="IS_CONCEPT"</f>
        <v>0</v>
      </c>
      <c r="R347" s="8" t="b">
        <f>_xlfn.XLOOKUP(CONTROL[[#This Row],[VEHIDCODE]],PROPERTIES[VEHIDCODE],PROPERTIES[EXCLUDE])</f>
        <v>0</v>
      </c>
    </row>
    <row r="348" spans="1:18">
      <c r="A348" s="2" t="s">
        <v>3062</v>
      </c>
      <c r="B348" s="26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7" t="s">
        <v>2307</v>
      </c>
      <c r="G348" t="s">
        <v>1413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6" t="str">
        <f>"item_"&amp;CONTROL[[#This Row],[VEHIDCODE]]</f>
        <v>item_mtro_CAF_Algiers_2011_Stock</v>
      </c>
      <c r="P348" s="26" t="str">
        <f>"str_"&amp;CONTROL[[#This Row],[VEHIDCODE]]</f>
        <v>str_mtro_CAF_Algiers_2011_Stock</v>
      </c>
      <c r="Q348" s="8" t="b">
        <f>_xlfn.XLOOKUP(CONTROL[[#This Row],[VEHIDCODE]],PROPERTIES[VEHIDCODE],PROPERTIES[IS_CONCEPT])="IS_CONCEPT"</f>
        <v>0</v>
      </c>
      <c r="R348" s="8" t="b">
        <f>_xlfn.XLOOKUP(CONTROL[[#This Row],[VEHIDCODE]],PROPERTIES[VEHIDCODE],PROPERTIES[EXCLUDE])</f>
        <v>0</v>
      </c>
    </row>
    <row r="349" spans="1:18">
      <c r="A349" s="2" t="s">
        <v>3063</v>
      </c>
      <c r="B349" s="26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7" t="s">
        <v>2308</v>
      </c>
      <c r="G349" t="s">
        <v>1414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6" t="str">
        <f>"item_"&amp;CONTROL[[#This Row],[VEHIDCODE]]</f>
        <v>item_mtro_Stadler_Berlin_U_Bahn_IK</v>
      </c>
      <c r="P349" s="26" t="str">
        <f>"str_"&amp;CONTROL[[#This Row],[VEHIDCODE]]</f>
        <v>str_mtro_Stadler_Berlin_U_Bahn_IK</v>
      </c>
      <c r="Q349" s="8" t="b">
        <f>_xlfn.XLOOKUP(CONTROL[[#This Row],[VEHIDCODE]],PROPERTIES[VEHIDCODE],PROPERTIES[IS_CONCEPT])="IS_CONCEPT"</f>
        <v>0</v>
      </c>
      <c r="R349" s="8" t="b">
        <f>_xlfn.XLOOKUP(CONTROL[[#This Row],[VEHIDCODE]],PROPERTIES[VEHIDCODE],PROPERTIES[EXCLUDE])</f>
        <v>0</v>
      </c>
    </row>
    <row r="350" spans="1:18">
      <c r="A350" s="2" t="s">
        <v>3064</v>
      </c>
      <c r="B350" s="26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7" t="s">
        <v>2309</v>
      </c>
      <c r="G350" t="s">
        <v>1415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6" t="str">
        <f>"item_"&amp;CONTROL[[#This Row],[VEHIDCODE]]</f>
        <v>item_mtro_St__Louis_Car_Company_Chicago_L_6000_Series</v>
      </c>
      <c r="P350" s="26" t="str">
        <f>"str_"&amp;CONTROL[[#This Row],[VEHIDCODE]]</f>
        <v>str_mtro_St__Louis_Car_Company_Chicago_L_6000_Series</v>
      </c>
      <c r="Q350" s="8" t="b">
        <f>_xlfn.XLOOKUP(CONTROL[[#This Row],[VEHIDCODE]],PROPERTIES[VEHIDCODE],PROPERTIES[IS_CONCEPT])="IS_CONCEPT"</f>
        <v>0</v>
      </c>
      <c r="R350" s="8" t="b">
        <f>_xlfn.XLOOKUP(CONTROL[[#This Row],[VEHIDCODE]],PROPERTIES[VEHIDCODE],PROPERTIES[EXCLUDE])</f>
        <v>0</v>
      </c>
    </row>
    <row r="351" spans="1:18">
      <c r="A351" s="2" t="s">
        <v>3065</v>
      </c>
      <c r="B351" s="26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7" t="s">
        <v>2310</v>
      </c>
      <c r="G351" t="s">
        <v>1416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6" t="str">
        <f>"item_"&amp;CONTROL[[#This Row],[VEHIDCODE]]</f>
        <v>item_mtro_BRC_W_London_1903_Stock</v>
      </c>
      <c r="P351" s="26" t="str">
        <f>"str_"&amp;CONTROL[[#This Row],[VEHIDCODE]]</f>
        <v>str_mtro_BRC_W_London_1903_Stock</v>
      </c>
      <c r="Q351" s="8" t="b">
        <f>_xlfn.XLOOKUP(CONTROL[[#This Row],[VEHIDCODE]],PROPERTIES[VEHIDCODE],PROPERTIES[IS_CONCEPT])="IS_CONCEPT"</f>
        <v>0</v>
      </c>
      <c r="R351" s="8" t="b">
        <f>_xlfn.XLOOKUP(CONTROL[[#This Row],[VEHIDCODE]],PROPERTIES[VEHIDCODE],PROPERTIES[EXCLUDE])</f>
        <v>0</v>
      </c>
    </row>
    <row r="352" spans="1:18">
      <c r="A352" s="2" t="s">
        <v>3066</v>
      </c>
      <c r="B352" s="26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7" t="s">
        <v>404</v>
      </c>
      <c r="G352" t="s">
        <v>1417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6" t="str">
        <f>"item_"&amp;CONTROL[[#This Row],[VEHIDCODE]]</f>
        <v>item_mtro_London_1938_Stock</v>
      </c>
      <c r="P352" s="26" t="str">
        <f>"str_"&amp;CONTROL[[#This Row],[VEHIDCODE]]</f>
        <v>str_mtro_London_1938_Stock</v>
      </c>
      <c r="Q352" s="8" t="b">
        <f>_xlfn.XLOOKUP(CONTROL[[#This Row],[VEHIDCODE]],PROPERTIES[VEHIDCODE],PROPERTIES[IS_CONCEPT])="IS_CONCEPT"</f>
        <v>0</v>
      </c>
      <c r="R352" s="8" t="b">
        <f>_xlfn.XLOOKUP(CONTROL[[#This Row],[VEHIDCODE]],PROPERTIES[VEHIDCODE],PROPERTIES[EXCLUDE])</f>
        <v>0</v>
      </c>
    </row>
    <row r="353" spans="1:18">
      <c r="A353" s="2" t="s">
        <v>3067</v>
      </c>
      <c r="B353" s="26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7" t="s">
        <v>405</v>
      </c>
      <c r="G353" t="s">
        <v>1418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6" t="str">
        <f>"item_"&amp;CONTROL[[#This Row],[VEHIDCODE]]</f>
        <v>item_electric_NER_EF1</v>
      </c>
      <c r="P353" s="26" t="str">
        <f>"str_"&amp;CONTROL[[#This Row],[VEHIDCODE]]</f>
        <v>str_electric_NER_EF1</v>
      </c>
      <c r="Q353" s="8" t="b">
        <f>_xlfn.XLOOKUP(CONTROL[[#This Row],[VEHIDCODE]],PROPERTIES[VEHIDCODE],PROPERTIES[IS_CONCEPT])="IS_CONCEPT"</f>
        <v>0</v>
      </c>
      <c r="R353" s="8" t="b">
        <f>_xlfn.XLOOKUP(CONTROL[[#This Row],[VEHIDCODE]],PROPERTIES[VEHIDCODE],PROPERTIES[EXCLUDE])</f>
        <v>0</v>
      </c>
    </row>
    <row r="354" spans="1:18">
      <c r="A354" s="2" t="s">
        <v>3068</v>
      </c>
      <c r="B354" s="26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7" t="s">
        <v>406</v>
      </c>
      <c r="G354" t="s">
        <v>1419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6" t="str">
        <f>"item_"&amp;CONTROL[[#This Row],[VEHIDCODE]]</f>
        <v>item_electric_JNR_EB10</v>
      </c>
      <c r="P354" s="26" t="str">
        <f>"str_"&amp;CONTROL[[#This Row],[VEHIDCODE]]</f>
        <v>str_electric_JNR_EB10</v>
      </c>
      <c r="Q354" s="8" t="b">
        <f>_xlfn.XLOOKUP(CONTROL[[#This Row],[VEHIDCODE]],PROPERTIES[VEHIDCODE],PROPERTIES[IS_CONCEPT])="IS_CONCEPT"</f>
        <v>0</v>
      </c>
      <c r="R354" s="8" t="b">
        <f>_xlfn.XLOOKUP(CONTROL[[#This Row],[VEHIDCODE]],PROPERTIES[VEHIDCODE],PROPERTIES[EXCLUDE])</f>
        <v>0</v>
      </c>
    </row>
    <row r="355" spans="1:18">
      <c r="A355" s="2" t="s">
        <v>3069</v>
      </c>
      <c r="B355" s="26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7" t="s">
        <v>2311</v>
      </c>
      <c r="G355" t="s">
        <v>1420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6" t="str">
        <f>"item_"&amp;CONTROL[[#This Row],[VEHIDCODE]]</f>
        <v>item_electric_Hitachi_Kawasaki_EF55</v>
      </c>
      <c r="P355" s="26" t="str">
        <f>"str_"&amp;CONTROL[[#This Row],[VEHIDCODE]]</f>
        <v>str_electric_Hitachi_Kawasaki_EF55</v>
      </c>
      <c r="Q355" s="8" t="b">
        <f>_xlfn.XLOOKUP(CONTROL[[#This Row],[VEHIDCODE]],PROPERTIES[VEHIDCODE],PROPERTIES[IS_CONCEPT])="IS_CONCEPT"</f>
        <v>0</v>
      </c>
      <c r="R355" s="8" t="b">
        <f>_xlfn.XLOOKUP(CONTROL[[#This Row],[VEHIDCODE]],PROPERTIES[VEHIDCODE],PROPERTIES[EXCLUDE])</f>
        <v>0</v>
      </c>
    </row>
    <row r="356" spans="1:18">
      <c r="A356" s="2" t="s">
        <v>3070</v>
      </c>
      <c r="B356" s="26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7" t="s">
        <v>2312</v>
      </c>
      <c r="G356" t="s">
        <v>1421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6" t="str">
        <f>"item_"&amp;CONTROL[[#This Row],[VEHIDCODE]]</f>
        <v>item_electric_SLM_NS_1000</v>
      </c>
      <c r="P356" s="26" t="str">
        <f>"str_"&amp;CONTROL[[#This Row],[VEHIDCODE]]</f>
        <v>str_electric_SLM_NS_1000</v>
      </c>
      <c r="Q356" s="8" t="b">
        <f>_xlfn.XLOOKUP(CONTROL[[#This Row],[VEHIDCODE]],PROPERTIES[VEHIDCODE],PROPERTIES[IS_CONCEPT])="IS_CONCEPT"</f>
        <v>0</v>
      </c>
      <c r="R356" s="8" t="b">
        <f>_xlfn.XLOOKUP(CONTROL[[#This Row],[VEHIDCODE]],PROPERTIES[VEHIDCODE],PROPERTIES[EXCLUDE])</f>
        <v>0</v>
      </c>
    </row>
    <row r="357" spans="1:18">
      <c r="A357" s="2" t="s">
        <v>3071</v>
      </c>
      <c r="B357" s="26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7" t="s">
        <v>2627</v>
      </c>
      <c r="G357" t="s">
        <v>1422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6" t="str">
        <f>"item_"&amp;CONTROL[[#This Row],[VEHIDCODE]]</f>
        <v>item_electric_Alsthom_BB_7200_NS_1600</v>
      </c>
      <c r="P357" s="26" t="str">
        <f>"str_"&amp;CONTROL[[#This Row],[VEHIDCODE]]</f>
        <v>str_electric_Alsthom_BB_7200_NS_1600</v>
      </c>
      <c r="Q357" s="8" t="b">
        <f>_xlfn.XLOOKUP(CONTROL[[#This Row],[VEHIDCODE]],PROPERTIES[VEHIDCODE],PROPERTIES[IS_CONCEPT])="IS_CONCEPT"</f>
        <v>0</v>
      </c>
      <c r="R357" s="8" t="b">
        <f>_xlfn.XLOOKUP(CONTROL[[#This Row],[VEHIDCODE]],PROPERTIES[VEHIDCODE],PROPERTIES[EXCLUDE])</f>
        <v>0</v>
      </c>
    </row>
    <row r="358" spans="1:18">
      <c r="A358" s="2" t="s">
        <v>3072</v>
      </c>
      <c r="B358" s="26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7" t="s">
        <v>407</v>
      </c>
      <c r="G358" t="s">
        <v>1423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6" t="str">
        <f>"item_"&amp;CONTROL[[#This Row],[VEHIDCODE]]</f>
        <v>item_electric_Victorian_Railways_E</v>
      </c>
      <c r="P358" s="26" t="str">
        <f>"str_"&amp;CONTROL[[#This Row],[VEHIDCODE]]</f>
        <v>str_electric_Victorian_Railways_E</v>
      </c>
      <c r="Q358" s="8" t="b">
        <f>_xlfn.XLOOKUP(CONTROL[[#This Row],[VEHIDCODE]],PROPERTIES[VEHIDCODE],PROPERTIES[IS_CONCEPT])="IS_CONCEPT"</f>
        <v>0</v>
      </c>
      <c r="R358" s="8" t="b">
        <f>_xlfn.XLOOKUP(CONTROL[[#This Row],[VEHIDCODE]],PROPERTIES[VEHIDCODE],PROPERTIES[EXCLUDE])</f>
        <v>0</v>
      </c>
    </row>
    <row r="359" spans="1:18">
      <c r="A359" s="2" t="s">
        <v>3073</v>
      </c>
      <c r="B359" s="26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7" t="s">
        <v>2313</v>
      </c>
      <c r="G359" t="s">
        <v>1424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6" t="str">
        <f>"item_"&amp;CONTROL[[#This Row],[VEHIDCODE]]</f>
        <v>item_electric_British_Thomson_Houston_ES1</v>
      </c>
      <c r="P359" s="26" t="str">
        <f>"str_"&amp;CONTROL[[#This Row],[VEHIDCODE]]</f>
        <v>str_electric_British_Thomson_Houston_ES1</v>
      </c>
      <c r="Q359" s="8" t="b">
        <f>_xlfn.XLOOKUP(CONTROL[[#This Row],[VEHIDCODE]],PROPERTIES[VEHIDCODE],PROPERTIES[IS_CONCEPT])="IS_CONCEPT"</f>
        <v>0</v>
      </c>
      <c r="R359" s="8" t="b">
        <f>_xlfn.XLOOKUP(CONTROL[[#This Row],[VEHIDCODE]],PROPERTIES[VEHIDCODE],PROPERTIES[EXCLUDE])</f>
        <v>0</v>
      </c>
    </row>
    <row r="360" spans="1:18">
      <c r="A360" s="2" t="s">
        <v>3074</v>
      </c>
      <c r="B360" s="26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7" t="s">
        <v>2314</v>
      </c>
      <c r="G360" t="s">
        <v>1425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6" t="str">
        <f>"item_"&amp;CONTROL[[#This Row],[VEHIDCODE]]</f>
        <v>item_electric_ALCO_GE_NYC_S_Motor_S1</v>
      </c>
      <c r="P360" s="26" t="str">
        <f>"str_"&amp;CONTROL[[#This Row],[VEHIDCODE]]</f>
        <v>str_electric_ALCO_GE_NYC_S_Motor_S1</v>
      </c>
      <c r="Q360" s="8" t="b">
        <f>_xlfn.XLOOKUP(CONTROL[[#This Row],[VEHIDCODE]],PROPERTIES[VEHIDCODE],PROPERTIES[IS_CONCEPT])="IS_CONCEPT"</f>
        <v>0</v>
      </c>
      <c r="R360" s="8" t="b">
        <f>_xlfn.XLOOKUP(CONTROL[[#This Row],[VEHIDCODE]],PROPERTIES[VEHIDCODE],PROPERTIES[EXCLUDE])</f>
        <v>0</v>
      </c>
    </row>
    <row r="361" spans="1:18">
      <c r="A361" s="2" t="s">
        <v>3075</v>
      </c>
      <c r="B361" s="26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7" t="s">
        <v>2315</v>
      </c>
      <c r="G361" t="s">
        <v>1426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6" t="str">
        <f>"item_"&amp;CONTROL[[#This Row],[VEHIDCODE]]</f>
        <v>item_electric_Nippon_Sharyo_DeKi_400</v>
      </c>
      <c r="P361" s="26" t="str">
        <f>"str_"&amp;CONTROL[[#This Row],[VEHIDCODE]]</f>
        <v>str_electric_Nippon_Sharyo_DeKi_400</v>
      </c>
      <c r="Q361" s="8" t="b">
        <f>_xlfn.XLOOKUP(CONTROL[[#This Row],[VEHIDCODE]],PROPERTIES[VEHIDCODE],PROPERTIES[IS_CONCEPT])="IS_CONCEPT"</f>
        <v>0</v>
      </c>
      <c r="R361" s="8" t="b">
        <f>_xlfn.XLOOKUP(CONTROL[[#This Row],[VEHIDCODE]],PROPERTIES[VEHIDCODE],PROPERTIES[EXCLUDE])</f>
        <v>0</v>
      </c>
    </row>
    <row r="362" spans="1:18">
      <c r="A362" s="2" t="s">
        <v>3076</v>
      </c>
      <c r="B362" s="26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7" t="s">
        <v>2329</v>
      </c>
      <c r="G362" t="s">
        <v>1427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6" t="str">
        <f>"item_"&amp;CONTROL[[#This Row],[VEHIDCODE]]</f>
        <v>item_electric_Vulcan_Foundry_SLM_EF_1</v>
      </c>
      <c r="P362" s="26" t="str">
        <f>"str_"&amp;CONTROL[[#This Row],[VEHIDCODE]]</f>
        <v>str_electric_Vulcan_Foundry_SLM_EF_1</v>
      </c>
      <c r="Q362" s="8" t="b">
        <f>_xlfn.XLOOKUP(CONTROL[[#This Row],[VEHIDCODE]],PROPERTIES[VEHIDCODE],PROPERTIES[IS_CONCEPT])="IS_CONCEPT"</f>
        <v>0</v>
      </c>
      <c r="R362" s="8" t="b">
        <f>_xlfn.XLOOKUP(CONTROL[[#This Row],[VEHIDCODE]],PROPERTIES[VEHIDCODE],PROPERTIES[EXCLUDE])</f>
        <v>0</v>
      </c>
    </row>
    <row r="363" spans="1:18">
      <c r="A363" s="2" t="s">
        <v>3077</v>
      </c>
      <c r="B363" s="26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7" t="s">
        <v>2316</v>
      </c>
      <c r="G363" t="s">
        <v>1428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6" t="str">
        <f>"item_"&amp;CONTROL[[#This Row],[VEHIDCODE]]</f>
        <v>item_electric_Jeumont_Schneider_BB_9004</v>
      </c>
      <c r="P363" s="26" t="str">
        <f>"str_"&amp;CONTROL[[#This Row],[VEHIDCODE]]</f>
        <v>str_electric_Jeumont_Schneider_BB_9004</v>
      </c>
      <c r="Q363" s="8" t="b">
        <f>_xlfn.XLOOKUP(CONTROL[[#This Row],[VEHIDCODE]],PROPERTIES[VEHIDCODE],PROPERTIES[IS_CONCEPT])="IS_CONCEPT"</f>
        <v>0</v>
      </c>
      <c r="R363" s="8" t="b">
        <f>_xlfn.XLOOKUP(CONTROL[[#This Row],[VEHIDCODE]],PROPERTIES[VEHIDCODE],PROPERTIES[EXCLUDE])</f>
        <v>0</v>
      </c>
    </row>
    <row r="364" spans="1:18">
      <c r="A364" s="2" t="s">
        <v>3078</v>
      </c>
      <c r="B364" s="26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7" t="s">
        <v>2317</v>
      </c>
      <c r="G364" t="s">
        <v>1429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6" t="str">
        <f>"item_"&amp;CONTROL[[#This Row],[VEHIDCODE]]</f>
        <v>item_electric_Werkspoor_ESS_3200</v>
      </c>
      <c r="P364" s="26" t="str">
        <f>"str_"&amp;CONTROL[[#This Row],[VEHIDCODE]]</f>
        <v>str_electric_Werkspoor_ESS_3200</v>
      </c>
      <c r="Q364" s="8" t="b">
        <f>_xlfn.XLOOKUP(CONTROL[[#This Row],[VEHIDCODE]],PROPERTIES[VEHIDCODE],PROPERTIES[IS_CONCEPT])="IS_CONCEPT"</f>
        <v>0</v>
      </c>
      <c r="R364" s="8" t="b">
        <f>_xlfn.XLOOKUP(CONTROL[[#This Row],[VEHIDCODE]],PROPERTIES[VEHIDCODE],PROPERTIES[EXCLUDE])</f>
        <v>0</v>
      </c>
    </row>
    <row r="365" spans="1:18">
      <c r="A365" s="2" t="s">
        <v>3079</v>
      </c>
      <c r="B365" s="26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7" t="s">
        <v>3587</v>
      </c>
      <c r="G365" t="s">
        <v>1430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6" t="str">
        <f>"item_"&amp;CONTROL[[#This Row],[VEHIDCODE]]</f>
        <v>item_electric_Metropolitan_Vicerks_EM2</v>
      </c>
      <c r="P365" s="26" t="str">
        <f>"str_"&amp;CONTROL[[#This Row],[VEHIDCODE]]</f>
        <v>str_electric_Metropolitan_Vicerks_EM2</v>
      </c>
      <c r="Q365" s="8" t="b">
        <f>_xlfn.XLOOKUP(CONTROL[[#This Row],[VEHIDCODE]],PROPERTIES[VEHIDCODE],PROPERTIES[IS_CONCEPT])="IS_CONCEPT"</f>
        <v>0</v>
      </c>
      <c r="R365" s="8" t="b">
        <f>_xlfn.XLOOKUP(CONTROL[[#This Row],[VEHIDCODE]],PROPERTIES[VEHIDCODE],PROPERTIES[EXCLUDE])</f>
        <v>0</v>
      </c>
    </row>
    <row r="366" spans="1:18">
      <c r="A366" s="2" t="s">
        <v>3080</v>
      </c>
      <c r="B366" s="26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7" t="s">
        <v>408</v>
      </c>
      <c r="G366" t="s">
        <v>1431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6" t="str">
        <f>"item_"&amp;CONTROL[[#This Row],[VEHIDCODE]]</f>
        <v>item_electric_NER_EE1</v>
      </c>
      <c r="P366" s="26" t="str">
        <f>"str_"&amp;CONTROL[[#This Row],[VEHIDCODE]]</f>
        <v>str_electric_NER_EE1</v>
      </c>
      <c r="Q366" s="8" t="b">
        <f>_xlfn.XLOOKUP(CONTROL[[#This Row],[VEHIDCODE]],PROPERTIES[VEHIDCODE],PROPERTIES[IS_CONCEPT])="IS_CONCEPT"</f>
        <v>0</v>
      </c>
      <c r="R366" s="8" t="b">
        <f>_xlfn.XLOOKUP(CONTROL[[#This Row],[VEHIDCODE]],PROPERTIES[VEHIDCODE],PROPERTIES[EXCLUDE])</f>
        <v>0</v>
      </c>
    </row>
    <row r="367" spans="1:18">
      <c r="A367" s="2" t="s">
        <v>3081</v>
      </c>
      <c r="B367" s="26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7" t="s">
        <v>2318</v>
      </c>
      <c r="G367" t="s">
        <v>1432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6" t="str">
        <f>"item_"&amp;CONTROL[[#This Row],[VEHIDCODE]]</f>
        <v>item_electric_GE_ES_2</v>
      </c>
      <c r="P367" s="26" t="str">
        <f>"str_"&amp;CONTROL[[#This Row],[VEHIDCODE]]</f>
        <v>str_electric_GE_ES_2</v>
      </c>
      <c r="Q367" s="8" t="b">
        <f>_xlfn.XLOOKUP(CONTROL[[#This Row],[VEHIDCODE]],PROPERTIES[VEHIDCODE],PROPERTIES[IS_CONCEPT])="IS_CONCEPT"</f>
        <v>0</v>
      </c>
      <c r="R367" s="8" t="b">
        <f>_xlfn.XLOOKUP(CONTROL[[#This Row],[VEHIDCODE]],PROPERTIES[VEHIDCODE],PROPERTIES[EXCLUDE])</f>
        <v>0</v>
      </c>
    </row>
    <row r="368" spans="1:18">
      <c r="A368" s="2" t="s">
        <v>3082</v>
      </c>
      <c r="B368" s="26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7" t="s">
        <v>2319</v>
      </c>
      <c r="G368" t="s">
        <v>1433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6" t="str">
        <f>"item_"&amp;CONTROL[[#This Row],[VEHIDCODE]]</f>
        <v>item_electric_GE_2_4_8_0_0_8_4_2_EP2</v>
      </c>
      <c r="P368" s="26" t="str">
        <f>"str_"&amp;CONTROL[[#This Row],[VEHIDCODE]]</f>
        <v>str_electric_GE_2_4_8_0_0_8_4_2_EP2</v>
      </c>
      <c r="Q368" s="8" t="b">
        <f>_xlfn.XLOOKUP(CONTROL[[#This Row],[VEHIDCODE]],PROPERTIES[VEHIDCODE],PROPERTIES[IS_CONCEPT])="IS_CONCEPT"</f>
        <v>0</v>
      </c>
      <c r="R368" s="8" t="b">
        <f>_xlfn.XLOOKUP(CONTROL[[#This Row],[VEHIDCODE]],PROPERTIES[VEHIDCODE],PROPERTIES[EXCLUDE])</f>
        <v>0</v>
      </c>
    </row>
    <row r="369" spans="1:18">
      <c r="A369" s="2" t="s">
        <v>3083</v>
      </c>
      <c r="B369" s="26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7" t="s">
        <v>3625</v>
      </c>
      <c r="G369" t="s">
        <v>561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6" t="str">
        <f>"item_"&amp;CONTROL[[#This Row],[VEHIDCODE]]</f>
        <v>item_electric_EFE_E_28</v>
      </c>
      <c r="P369" s="26" t="str">
        <f>"str_"&amp;CONTROL[[#This Row],[VEHIDCODE]]</f>
        <v>str_electric_EFE_E_28</v>
      </c>
      <c r="Q369" s="8" t="b">
        <f>_xlfn.XLOOKUP(CONTROL[[#This Row],[VEHIDCODE]],PROPERTIES[VEHIDCODE],PROPERTIES[IS_CONCEPT])="IS_CONCEPT"</f>
        <v>0</v>
      </c>
      <c r="R369" s="8" t="b">
        <f>_xlfn.XLOOKUP(CONTROL[[#This Row],[VEHIDCODE]],PROPERTIES[VEHIDCODE],PROPERTIES[EXCLUDE])</f>
        <v>0</v>
      </c>
    </row>
    <row r="370" spans="1:18">
      <c r="A370" s="2" t="s">
        <v>3084</v>
      </c>
      <c r="B370" s="26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7" t="s">
        <v>2320</v>
      </c>
      <c r="G370" t="s">
        <v>1434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6" t="str">
        <f>"item_"&amp;CONTROL[[#This Row],[VEHIDCODE]]</f>
        <v>item_electric_Breda_E_428</v>
      </c>
      <c r="P370" s="26" t="str">
        <f>"str_"&amp;CONTROL[[#This Row],[VEHIDCODE]]</f>
        <v>str_electric_Breda_E_428</v>
      </c>
      <c r="Q370" s="8" t="b">
        <f>_xlfn.XLOOKUP(CONTROL[[#This Row],[VEHIDCODE]],PROPERTIES[VEHIDCODE],PROPERTIES[IS_CONCEPT])="IS_CONCEPT"</f>
        <v>0</v>
      </c>
      <c r="R370" s="8" t="b">
        <f>_xlfn.XLOOKUP(CONTROL[[#This Row],[VEHIDCODE]],PROPERTIES[VEHIDCODE],PROPERTIES[EXCLUDE])</f>
        <v>0</v>
      </c>
    </row>
    <row r="371" spans="1:18">
      <c r="A371" s="2" t="s">
        <v>3085</v>
      </c>
      <c r="B371" s="26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7" t="s">
        <v>2321</v>
      </c>
      <c r="G371" t="s">
        <v>1435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6" t="str">
        <f>"item_"&amp;CONTROL[[#This Row],[VEHIDCODE]]</f>
        <v>item_electric_Werkspoor_SAR_ES</v>
      </c>
      <c r="P371" s="26" t="str">
        <f>"str_"&amp;CONTROL[[#This Row],[VEHIDCODE]]</f>
        <v>str_electric_Werkspoor_SAR_ES</v>
      </c>
      <c r="Q371" s="8" t="b">
        <f>_xlfn.XLOOKUP(CONTROL[[#This Row],[VEHIDCODE]],PROPERTIES[VEHIDCODE],PROPERTIES[IS_CONCEPT])="IS_CONCEPT"</f>
        <v>0</v>
      </c>
      <c r="R371" s="8" t="b">
        <f>_xlfn.XLOOKUP(CONTROL[[#This Row],[VEHIDCODE]],PROPERTIES[VEHIDCODE],PROPERTIES[EXCLUDE])</f>
        <v>0</v>
      </c>
    </row>
    <row r="372" spans="1:18">
      <c r="A372" s="2" t="s">
        <v>3086</v>
      </c>
      <c r="B372" s="26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7" t="s">
        <v>2018</v>
      </c>
      <c r="G372" t="s">
        <v>1436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6" t="str">
        <f>"item_"&amp;CONTROL[[#This Row],[VEHIDCODE]]</f>
        <v>item_electric_English_Electric_E__AEI_E_</v>
      </c>
      <c r="P372" s="26" t="str">
        <f>"str_"&amp;CONTROL[[#This Row],[VEHIDCODE]]</f>
        <v>str_electric_English_Electric_E__AEI_E_</v>
      </c>
      <c r="Q372" s="8" t="b">
        <f>_xlfn.XLOOKUP(CONTROL[[#This Row],[VEHIDCODE]],PROPERTIES[VEHIDCODE],PROPERTIES[IS_CONCEPT])="IS_CONCEPT"</f>
        <v>0</v>
      </c>
      <c r="R372" s="8" t="b">
        <f>_xlfn.XLOOKUP(CONTROL[[#This Row],[VEHIDCODE]],PROPERTIES[VEHIDCODE],PROPERTIES[EXCLUDE])</f>
        <v>0</v>
      </c>
    </row>
    <row r="373" spans="1:18">
      <c r="A373" s="2" t="s">
        <v>3087</v>
      </c>
      <c r="B373" s="26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7" t="s">
        <v>2021</v>
      </c>
      <c r="G373" t="s">
        <v>1437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6" t="str">
        <f>"item_"&amp;CONTROL[[#This Row],[VEHIDCODE]]</f>
        <v>item_electric_HCP_203E</v>
      </c>
      <c r="P373" s="26" t="str">
        <f>"str_"&amp;CONTROL[[#This Row],[VEHIDCODE]]</f>
        <v>str_electric_HCP_203E</v>
      </c>
      <c r="Q373" s="8" t="b">
        <f>_xlfn.XLOOKUP(CONTROL[[#This Row],[VEHIDCODE]],PROPERTIES[VEHIDCODE],PROPERTIES[IS_CONCEPT])="IS_CONCEPT"</f>
        <v>0</v>
      </c>
      <c r="R373" s="8" t="b">
        <f>_xlfn.XLOOKUP(CONTROL[[#This Row],[VEHIDCODE]],PROPERTIES[VEHIDCODE],PROPERTIES[EXCLUDE])</f>
        <v>0</v>
      </c>
    </row>
    <row r="374" spans="1:18">
      <c r="A374" s="2" t="s">
        <v>3088</v>
      </c>
      <c r="B374" s="26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7" t="s">
        <v>2023</v>
      </c>
      <c r="G374" t="s">
        <v>1438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6" t="str">
        <f>"item_"&amp;CONTROL[[#This Row],[VEHIDCODE]]</f>
        <v>item_electric_Pafawag_104E</v>
      </c>
      <c r="P374" s="26" t="str">
        <f>"str_"&amp;CONTROL[[#This Row],[VEHIDCODE]]</f>
        <v>str_electric_Pafawag_104E</v>
      </c>
      <c r="Q374" s="8" t="b">
        <f>_xlfn.XLOOKUP(CONTROL[[#This Row],[VEHIDCODE]],PROPERTIES[VEHIDCODE],PROPERTIES[IS_CONCEPT])="IS_CONCEPT"</f>
        <v>0</v>
      </c>
      <c r="R374" s="8" t="b">
        <f>_xlfn.XLOOKUP(CONTROL[[#This Row],[VEHIDCODE]],PROPERTIES[VEHIDCODE],PROPERTIES[EXCLUDE])</f>
        <v>0</v>
      </c>
    </row>
    <row r="375" spans="1:18">
      <c r="A375" s="2" t="s">
        <v>3089</v>
      </c>
      <c r="B375" s="26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7" t="s">
        <v>2025</v>
      </c>
      <c r="G375" t="s">
        <v>1439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6" t="str">
        <f>"item_"&amp;CONTROL[[#This Row],[VEHIDCODE]]</f>
        <v>item_electric_Skoda_98E</v>
      </c>
      <c r="P375" s="26" t="str">
        <f>"str_"&amp;CONTROL[[#This Row],[VEHIDCODE]]</f>
        <v>str_electric_Skoda_98E</v>
      </c>
      <c r="Q375" s="8" t="b">
        <f>_xlfn.XLOOKUP(CONTROL[[#This Row],[VEHIDCODE]],PROPERTIES[VEHIDCODE],PROPERTIES[IS_CONCEPT])="IS_CONCEPT"</f>
        <v>0</v>
      </c>
      <c r="R375" s="8" t="b">
        <f>_xlfn.XLOOKUP(CONTROL[[#This Row],[VEHIDCODE]],PROPERTIES[VEHIDCODE],PROPERTIES[EXCLUDE])</f>
        <v>0</v>
      </c>
    </row>
    <row r="376" spans="1:18">
      <c r="A376" s="2" t="s">
        <v>3090</v>
      </c>
      <c r="B376" s="26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7" t="s">
        <v>2322</v>
      </c>
      <c r="G376" t="s">
        <v>1440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6" t="str">
        <f>"item_"&amp;CONTROL[[#This Row],[VEHIDCODE]]</f>
        <v>item_electric_TIBB_E_646</v>
      </c>
      <c r="P376" s="26" t="str">
        <f>"str_"&amp;CONTROL[[#This Row],[VEHIDCODE]]</f>
        <v>str_electric_TIBB_E_646</v>
      </c>
      <c r="Q376" s="8" t="b">
        <f>_xlfn.XLOOKUP(CONTROL[[#This Row],[VEHIDCODE]],PROPERTIES[VEHIDCODE],PROPERTIES[IS_CONCEPT])="IS_CONCEPT"</f>
        <v>0</v>
      </c>
      <c r="R376" s="8" t="b">
        <f>_xlfn.XLOOKUP(CONTROL[[#This Row],[VEHIDCODE]],PROPERTIES[VEHIDCODE],PROPERTIES[EXCLUDE])</f>
        <v>0</v>
      </c>
    </row>
    <row r="377" spans="1:18">
      <c r="A377" s="2" t="s">
        <v>3091</v>
      </c>
      <c r="B377" s="26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7" t="s">
        <v>2323</v>
      </c>
      <c r="G377" t="s">
        <v>1441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6" t="str">
        <f>"item_"&amp;CONTROL[[#This Row],[VEHIDCODE]]</f>
        <v>item_electric_Breda_E_424</v>
      </c>
      <c r="P377" s="26" t="str">
        <f>"str_"&amp;CONTROL[[#This Row],[VEHIDCODE]]</f>
        <v>str_electric_Breda_E_424</v>
      </c>
      <c r="Q377" s="8" t="b">
        <f>_xlfn.XLOOKUP(CONTROL[[#This Row],[VEHIDCODE]],PROPERTIES[VEHIDCODE],PROPERTIES[IS_CONCEPT])="IS_CONCEPT"</f>
        <v>0</v>
      </c>
      <c r="R377" s="8" t="b">
        <f>_xlfn.XLOOKUP(CONTROL[[#This Row],[VEHIDCODE]],PROPERTIES[VEHIDCODE],PROPERTIES[EXCLUDE])</f>
        <v>0</v>
      </c>
    </row>
    <row r="378" spans="1:18">
      <c r="A378" s="2" t="s">
        <v>3092</v>
      </c>
      <c r="B378" s="26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7" t="s">
        <v>2324</v>
      </c>
      <c r="G378" t="s">
        <v>1442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6" t="str">
        <f>"item_"&amp;CONTROL[[#This Row],[VEHIDCODE]]</f>
        <v>item_electric_Savigliano_E_444</v>
      </c>
      <c r="P378" s="26" t="str">
        <f>"str_"&amp;CONTROL[[#This Row],[VEHIDCODE]]</f>
        <v>str_electric_Savigliano_E_444</v>
      </c>
      <c r="Q378" s="8" t="b">
        <f>_xlfn.XLOOKUP(CONTROL[[#This Row],[VEHIDCODE]],PROPERTIES[VEHIDCODE],PROPERTIES[IS_CONCEPT])="IS_CONCEPT"</f>
        <v>0</v>
      </c>
      <c r="R378" s="8" t="b">
        <f>_xlfn.XLOOKUP(CONTROL[[#This Row],[VEHIDCODE]],PROPERTIES[VEHIDCODE],PROPERTIES[EXCLUDE])</f>
        <v>0</v>
      </c>
    </row>
    <row r="379" spans="1:18">
      <c r="A379" s="2" t="s">
        <v>3093</v>
      </c>
      <c r="B379" s="26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7" t="s">
        <v>2325</v>
      </c>
      <c r="G379" t="s">
        <v>1443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6" t="str">
        <f>"item_"&amp;CONTROL[[#This Row],[VEHIDCODE]]</f>
        <v>item_electric_Fiat_E_633</v>
      </c>
      <c r="P379" s="26" t="str">
        <f>"str_"&amp;CONTROL[[#This Row],[VEHIDCODE]]</f>
        <v>str_electric_Fiat_E_633</v>
      </c>
      <c r="Q379" s="8" t="b">
        <f>_xlfn.XLOOKUP(CONTROL[[#This Row],[VEHIDCODE]],PROPERTIES[VEHIDCODE],PROPERTIES[IS_CONCEPT])="IS_CONCEPT"</f>
        <v>0</v>
      </c>
      <c r="R379" s="8" t="b">
        <f>_xlfn.XLOOKUP(CONTROL[[#This Row],[VEHIDCODE]],PROPERTIES[VEHIDCODE],PROPERTIES[EXCLUDE])</f>
        <v>0</v>
      </c>
    </row>
    <row r="380" spans="1:18">
      <c r="A380" s="2" t="s">
        <v>3094</v>
      </c>
      <c r="B380" s="26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7" t="s">
        <v>2326</v>
      </c>
      <c r="G380" t="s">
        <v>1444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6" t="str">
        <f>"item_"&amp;CONTROL[[#This Row],[VEHIDCODE]]</f>
        <v>item_electric_BN_ACEC_25_5</v>
      </c>
      <c r="P380" s="26" t="str">
        <f>"str_"&amp;CONTROL[[#This Row],[VEHIDCODE]]</f>
        <v>str_electric_BN_ACEC_25_5</v>
      </c>
      <c r="Q380" s="8" t="b">
        <f>_xlfn.XLOOKUP(CONTROL[[#This Row],[VEHIDCODE]],PROPERTIES[VEHIDCODE],PROPERTIES[IS_CONCEPT])="IS_CONCEPT"</f>
        <v>0</v>
      </c>
      <c r="R380" s="8" t="b">
        <f>_xlfn.XLOOKUP(CONTROL[[#This Row],[VEHIDCODE]],PROPERTIES[VEHIDCODE],PROPERTIES[EXCLUDE])</f>
        <v>0</v>
      </c>
    </row>
    <row r="381" spans="1:18">
      <c r="A381" s="2" t="s">
        <v>3095</v>
      </c>
      <c r="B381" s="26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7" t="s">
        <v>2327</v>
      </c>
      <c r="G381" t="s">
        <v>1445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6" t="str">
        <f>"item_"&amp;CONTROL[[#This Row],[VEHIDCODE]]</f>
        <v>item_electric_Krauss_Maffei_CAF_250</v>
      </c>
      <c r="P381" s="26" t="str">
        <f>"str_"&amp;CONTROL[[#This Row],[VEHIDCODE]]</f>
        <v>str_electric_Krauss_Maffei_CAF_250</v>
      </c>
      <c r="Q381" s="8" t="b">
        <f>_xlfn.XLOOKUP(CONTROL[[#This Row],[VEHIDCODE]],PROPERTIES[VEHIDCODE],PROPERTIES[IS_CONCEPT])="IS_CONCEPT"</f>
        <v>0</v>
      </c>
      <c r="R381" s="8" t="b">
        <f>_xlfn.XLOOKUP(CONTROL[[#This Row],[VEHIDCODE]],PROPERTIES[VEHIDCODE],PROPERTIES[EXCLUDE])</f>
        <v>0</v>
      </c>
    </row>
    <row r="382" spans="1:18">
      <c r="A382" s="2" t="s">
        <v>3096</v>
      </c>
      <c r="B382" s="26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7" t="s">
        <v>3624</v>
      </c>
      <c r="G382" t="s">
        <v>1856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6" t="str">
        <f>"item_"&amp;CONTROL[[#This Row],[VEHIDCODE]]</f>
        <v>item_electric_EFE_E_29</v>
      </c>
      <c r="P382" s="26" t="str">
        <f>"str_"&amp;CONTROL[[#This Row],[VEHIDCODE]]</f>
        <v>str_electric_EFE_E_29</v>
      </c>
      <c r="Q382" s="8" t="b">
        <f>_xlfn.XLOOKUP(CONTROL[[#This Row],[VEHIDCODE]],PROPERTIES[VEHIDCODE],PROPERTIES[IS_CONCEPT])="IS_CONCEPT"</f>
        <v>0</v>
      </c>
      <c r="R382" s="8" t="b">
        <f>_xlfn.XLOOKUP(CONTROL[[#This Row],[VEHIDCODE]],PROPERTIES[VEHIDCODE],PROPERTIES[EXCLUDE])</f>
        <v>1</v>
      </c>
    </row>
    <row r="383" spans="1:18">
      <c r="A383" s="2" t="s">
        <v>3097</v>
      </c>
      <c r="B383" s="26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7" t="s">
        <v>3622</v>
      </c>
      <c r="G383" t="s">
        <v>3623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6" t="str">
        <f>"item_"&amp;CONTROL[[#This Row],[VEHIDCODE]]</f>
        <v>item_electric_EFE_E_17</v>
      </c>
      <c r="P383" s="26" t="str">
        <f>"str_"&amp;CONTROL[[#This Row],[VEHIDCODE]]</f>
        <v>str_electric_EFE_E_17</v>
      </c>
      <c r="Q383" s="8" t="b">
        <f>_xlfn.XLOOKUP(CONTROL[[#This Row],[VEHIDCODE]],PROPERTIES[VEHIDCODE],PROPERTIES[IS_CONCEPT])="IS_CONCEPT"</f>
        <v>0</v>
      </c>
      <c r="R383" s="8" t="b">
        <f>_xlfn.XLOOKUP(CONTROL[[#This Row],[VEHIDCODE]],PROPERTIES[VEHIDCODE],PROPERTIES[EXCLUDE])</f>
        <v>0</v>
      </c>
    </row>
    <row r="384" spans="1:18">
      <c r="A384" s="2" t="s">
        <v>3098</v>
      </c>
      <c r="B384" s="26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7" t="s">
        <v>3607</v>
      </c>
      <c r="G384" t="s">
        <v>3608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6" t="str">
        <f>"item_"&amp;CONTROL[[#This Row],[VEHIDCODE]]</f>
        <v>item_electric_Alsthom_E_700</v>
      </c>
      <c r="P384" s="26" t="str">
        <f>"str_"&amp;CONTROL[[#This Row],[VEHIDCODE]]</f>
        <v>str_electric_Alsthom_E_700</v>
      </c>
      <c r="Q384" s="8" t="b">
        <f>_xlfn.XLOOKUP(CONTROL[[#This Row],[VEHIDCODE]],PROPERTIES[VEHIDCODE],PROPERTIES[IS_CONCEPT])="IS_CONCEPT"</f>
        <v>0</v>
      </c>
      <c r="R384" s="8" t="b">
        <f>_xlfn.XLOOKUP(CONTROL[[#This Row],[VEHIDCODE]],PROPERTIES[VEHIDCODE],PROPERTIES[EXCLUDE])</f>
        <v>0</v>
      </c>
    </row>
    <row r="385" spans="1:18">
      <c r="A385" s="2" t="s">
        <v>3099</v>
      </c>
      <c r="B385" s="26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7" t="s">
        <v>2328</v>
      </c>
      <c r="G385" t="s">
        <v>1446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6" t="str">
        <f>"item_"&amp;CONTROL[[#This Row],[VEHIDCODE]]</f>
        <v>item_electric_Vulcan_Foundry_EE_EM_1</v>
      </c>
      <c r="P385" s="26" t="str">
        <f>"str_"&amp;CONTROL[[#This Row],[VEHIDCODE]]</f>
        <v>str_electric_Vulcan_Foundry_EE_EM_1</v>
      </c>
      <c r="Q385" s="8" t="b">
        <f>_xlfn.XLOOKUP(CONTROL[[#This Row],[VEHIDCODE]],PROPERTIES[VEHIDCODE],PROPERTIES[IS_CONCEPT])="IS_CONCEPT"</f>
        <v>0</v>
      </c>
      <c r="R385" s="8" t="b">
        <f>_xlfn.XLOOKUP(CONTROL[[#This Row],[VEHIDCODE]],PROPERTIES[VEHIDCODE],PROPERTIES[EXCLUDE])</f>
        <v>0</v>
      </c>
    </row>
    <row r="386" spans="1:18">
      <c r="A386" s="2" t="s">
        <v>3100</v>
      </c>
      <c r="B386" s="26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7" t="s">
        <v>2330</v>
      </c>
      <c r="G386" t="s">
        <v>1447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6" t="str">
        <f>"item_"&amp;CONTROL[[#This Row],[VEHIDCODE]]</f>
        <v>item_electric_Union_Carriage___Wagon_E38</v>
      </c>
      <c r="P386" s="26" t="str">
        <f>"str_"&amp;CONTROL[[#This Row],[VEHIDCODE]]</f>
        <v>str_electric_Union_Carriage___Wagon_E38</v>
      </c>
      <c r="Q386" s="8" t="b">
        <f>_xlfn.XLOOKUP(CONTROL[[#This Row],[VEHIDCODE]],PROPERTIES[VEHIDCODE],PROPERTIES[IS_CONCEPT])="IS_CONCEPT"</f>
        <v>0</v>
      </c>
      <c r="R386" s="8" t="b">
        <f>_xlfn.XLOOKUP(CONTROL[[#This Row],[VEHIDCODE]],PROPERTIES[VEHIDCODE],PROPERTIES[EXCLUDE])</f>
        <v>0</v>
      </c>
    </row>
    <row r="387" spans="1:18">
      <c r="A387" s="2" t="s">
        <v>3101</v>
      </c>
      <c r="B387" s="26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7" t="s">
        <v>2104</v>
      </c>
      <c r="G387" t="s">
        <v>1448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6" t="str">
        <f>"item_"&amp;CONTROL[[#This Row],[VEHIDCODE]]</f>
        <v>item_electric_Mitsubishi_series_269</v>
      </c>
      <c r="P387" s="26" t="str">
        <f>"str_"&amp;CONTROL[[#This Row],[VEHIDCODE]]</f>
        <v>str_electric_Mitsubishi_series_269</v>
      </c>
      <c r="Q387" s="8" t="b">
        <f>_xlfn.XLOOKUP(CONTROL[[#This Row],[VEHIDCODE]],PROPERTIES[VEHIDCODE],PROPERTIES[IS_CONCEPT])="IS_CONCEPT"</f>
        <v>0</v>
      </c>
      <c r="R387" s="8" t="b">
        <f>_xlfn.XLOOKUP(CONTROL[[#This Row],[VEHIDCODE]],PROPERTIES[VEHIDCODE],PROPERTIES[EXCLUDE])</f>
        <v>0</v>
      </c>
    </row>
    <row r="388" spans="1:18">
      <c r="A388" s="2" t="s">
        <v>3102</v>
      </c>
      <c r="B388" s="26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7" t="s">
        <v>2022</v>
      </c>
      <c r="G388" t="s">
        <v>1449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6" t="str">
        <f>"item_"&amp;CONTROL[[#This Row],[VEHIDCODE]]</f>
        <v>item_electric_Skoda_69E</v>
      </c>
      <c r="P388" s="26" t="str">
        <f>"str_"&amp;CONTROL[[#This Row],[VEHIDCODE]]</f>
        <v>str_electric_Skoda_69E</v>
      </c>
      <c r="Q388" s="8" t="b">
        <f>_xlfn.XLOOKUP(CONTROL[[#This Row],[VEHIDCODE]],PROPERTIES[VEHIDCODE],PROPERTIES[IS_CONCEPT])="IS_CONCEPT"</f>
        <v>0</v>
      </c>
      <c r="R388" s="8" t="b">
        <f>_xlfn.XLOOKUP(CONTROL[[#This Row],[VEHIDCODE]],PROPERTIES[VEHIDCODE],PROPERTIES[EXCLUDE])</f>
        <v>0</v>
      </c>
    </row>
    <row r="389" spans="1:18">
      <c r="A389" s="2" t="s">
        <v>3103</v>
      </c>
      <c r="B389" s="26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7" t="s">
        <v>2331</v>
      </c>
      <c r="G389" t="s">
        <v>1450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6" t="str">
        <f>"item_"&amp;CONTROL[[#This Row],[VEHIDCODE]]</f>
        <v>item_electric_AEG_Skabo_EL7</v>
      </c>
      <c r="P389" s="26" t="str">
        <f>"str_"&amp;CONTROL[[#This Row],[VEHIDCODE]]</f>
        <v>str_electric_AEG_Skabo_EL7</v>
      </c>
      <c r="Q389" s="8" t="b">
        <f>_xlfn.XLOOKUP(CONTROL[[#This Row],[VEHIDCODE]],PROPERTIES[VEHIDCODE],PROPERTIES[IS_CONCEPT])="IS_CONCEPT"</f>
        <v>0</v>
      </c>
      <c r="R389" s="8" t="b">
        <f>_xlfn.XLOOKUP(CONTROL[[#This Row],[VEHIDCODE]],PROPERTIES[VEHIDCODE],PROPERTIES[EXCLUDE])</f>
        <v>0</v>
      </c>
    </row>
    <row r="390" spans="1:18">
      <c r="A390" s="2" t="s">
        <v>3104</v>
      </c>
      <c r="B390" s="26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7" t="s">
        <v>2332</v>
      </c>
      <c r="G390" t="s">
        <v>1451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6" t="str">
        <f>"item_"&amp;CONTROL[[#This Row],[VEHIDCODE]]</f>
        <v>item_electric_Westinghouse_FF_1_Big_Liz_</v>
      </c>
      <c r="P390" s="26" t="str">
        <f>"str_"&amp;CONTROL[[#This Row],[VEHIDCODE]]</f>
        <v>str_electric_Westinghouse_FF_1_Big_Liz_</v>
      </c>
      <c r="Q390" s="8" t="b">
        <f>_xlfn.XLOOKUP(CONTROL[[#This Row],[VEHIDCODE]],PROPERTIES[VEHIDCODE],PROPERTIES[IS_CONCEPT])="IS_CONCEPT"</f>
        <v>0</v>
      </c>
      <c r="R390" s="8" t="b">
        <f>_xlfn.XLOOKUP(CONTROL[[#This Row],[VEHIDCODE]],PROPERTIES[VEHIDCODE],PROPERTIES[EXCLUDE])</f>
        <v>0</v>
      </c>
    </row>
    <row r="391" spans="1:18">
      <c r="A391" s="2" t="s">
        <v>3105</v>
      </c>
      <c r="B391" s="26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7" t="s">
        <v>2333</v>
      </c>
      <c r="G391" t="s">
        <v>1452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6" t="str">
        <f>"item_"&amp;CONTROL[[#This Row],[VEHIDCODE]]</f>
        <v>item_electric_ELIN_Floridsdorf_1161</v>
      </c>
      <c r="P391" s="26" t="str">
        <f>"str_"&amp;CONTROL[[#This Row],[VEHIDCODE]]</f>
        <v>str_electric_ELIN_Floridsdorf_1161</v>
      </c>
      <c r="Q391" s="8" t="b">
        <f>_xlfn.XLOOKUP(CONTROL[[#This Row],[VEHIDCODE]],PROPERTIES[VEHIDCODE],PROPERTIES[IS_CONCEPT])="IS_CONCEPT"</f>
        <v>0</v>
      </c>
      <c r="R391" s="8" t="b">
        <f>_xlfn.XLOOKUP(CONTROL[[#This Row],[VEHIDCODE]],PROPERTIES[VEHIDCODE],PROPERTIES[EXCLUDE])</f>
        <v>0</v>
      </c>
    </row>
    <row r="392" spans="1:18">
      <c r="A392" s="2" t="s">
        <v>3106</v>
      </c>
      <c r="B392" s="26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7" t="s">
        <v>2334</v>
      </c>
      <c r="G392" t="s">
        <v>1453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6" t="str">
        <f>"item_"&amp;CONTROL[[#This Row],[VEHIDCODE]]</f>
        <v>item_electric_Maffei_SSW_Lok_5_Adolphine</v>
      </c>
      <c r="P392" s="26" t="str">
        <f>"str_"&amp;CONTROL[[#This Row],[VEHIDCODE]]</f>
        <v>str_electric_Maffei_SSW_Lok_5_Adolphine</v>
      </c>
      <c r="Q392" s="8" t="b">
        <f>_xlfn.XLOOKUP(CONTROL[[#This Row],[VEHIDCODE]],PROPERTIES[VEHIDCODE],PROPERTIES[IS_CONCEPT])="IS_CONCEPT"</f>
        <v>0</v>
      </c>
      <c r="R392" s="8" t="b">
        <f>_xlfn.XLOOKUP(CONTROL[[#This Row],[VEHIDCODE]],PROPERTIES[VEHIDCODE],PROPERTIES[EXCLUDE])</f>
        <v>0</v>
      </c>
    </row>
    <row r="393" spans="1:18">
      <c r="A393" s="2" t="s">
        <v>3107</v>
      </c>
      <c r="B393" s="26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7" t="s">
        <v>2335</v>
      </c>
      <c r="G393" t="s">
        <v>1454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6" t="str">
        <f>"item_"&amp;CONTROL[[#This Row],[VEHIDCODE]]</f>
        <v>item_electric_Thune_ASEA_EL10</v>
      </c>
      <c r="P393" s="26" t="str">
        <f>"str_"&amp;CONTROL[[#This Row],[VEHIDCODE]]</f>
        <v>str_electric_Thune_ASEA_EL10</v>
      </c>
      <c r="Q393" s="8" t="b">
        <f>_xlfn.XLOOKUP(CONTROL[[#This Row],[VEHIDCODE]],PROPERTIES[VEHIDCODE],PROPERTIES[IS_CONCEPT])="IS_CONCEPT"</f>
        <v>0</v>
      </c>
      <c r="R393" s="8" t="b">
        <f>_xlfn.XLOOKUP(CONTROL[[#This Row],[VEHIDCODE]],PROPERTIES[VEHIDCODE],PROPERTIES[EXCLUDE])</f>
        <v>0</v>
      </c>
    </row>
    <row r="394" spans="1:18">
      <c r="A394" s="2" t="s">
        <v>3108</v>
      </c>
      <c r="B394" s="26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7" t="s">
        <v>2336</v>
      </c>
      <c r="G394" t="s">
        <v>1455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6" t="str">
        <f>"item_"&amp;CONTROL[[#This Row],[VEHIDCODE]]</f>
        <v>item_electric_AEG_E_04</v>
      </c>
      <c r="P394" s="26" t="str">
        <f>"str_"&amp;CONTROL[[#This Row],[VEHIDCODE]]</f>
        <v>str_electric_AEG_E_04</v>
      </c>
      <c r="Q394" s="8" t="b">
        <f>_xlfn.XLOOKUP(CONTROL[[#This Row],[VEHIDCODE]],PROPERTIES[VEHIDCODE],PROPERTIES[IS_CONCEPT])="IS_CONCEPT"</f>
        <v>0</v>
      </c>
      <c r="R394" s="8" t="b">
        <f>_xlfn.XLOOKUP(CONTROL[[#This Row],[VEHIDCODE]],PROPERTIES[VEHIDCODE],PROPERTIES[EXCLUDE])</f>
        <v>0</v>
      </c>
    </row>
    <row r="395" spans="1:18">
      <c r="A395" s="2" t="s">
        <v>3109</v>
      </c>
      <c r="B395" s="26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7" t="s">
        <v>2337</v>
      </c>
      <c r="G395" t="s">
        <v>1456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6" t="str">
        <f>"item_"&amp;CONTROL[[#This Row],[VEHIDCODE]]</f>
        <v>item_electric_GE_4_6_0_0_6_4OE_GG_1</v>
      </c>
      <c r="P395" s="26" t="str">
        <f>"str_"&amp;CONTROL[[#This Row],[VEHIDCODE]]</f>
        <v>str_electric_GE_4_6_0_0_6_4OE_GG_1</v>
      </c>
      <c r="Q395" s="8" t="b">
        <f>_xlfn.XLOOKUP(CONTROL[[#This Row],[VEHIDCODE]],PROPERTIES[VEHIDCODE],PROPERTIES[IS_CONCEPT])="IS_CONCEPT"</f>
        <v>0</v>
      </c>
      <c r="R395" s="8" t="b">
        <f>_xlfn.XLOOKUP(CONTROL[[#This Row],[VEHIDCODE]],PROPERTIES[VEHIDCODE],PROPERTIES[EXCLUDE])</f>
        <v>0</v>
      </c>
    </row>
    <row r="396" spans="1:18">
      <c r="A396" s="2" t="s">
        <v>3110</v>
      </c>
      <c r="B396" s="26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7" t="s">
        <v>2619</v>
      </c>
      <c r="G396" t="s">
        <v>1457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6" t="str">
        <f>"item_"&amp;CONTROL[[#This Row],[VEHIDCODE]]</f>
        <v>item_electric_SLM_1100_Crocodile</v>
      </c>
      <c r="P396" s="26" t="str">
        <f>"str_"&amp;CONTROL[[#This Row],[VEHIDCODE]]</f>
        <v>str_electric_SLM_1100_Crocodile</v>
      </c>
      <c r="Q396" s="8" t="b">
        <f>_xlfn.XLOOKUP(CONTROL[[#This Row],[VEHIDCODE]],PROPERTIES[VEHIDCODE],PROPERTIES[IS_CONCEPT])="IS_CONCEPT"</f>
        <v>0</v>
      </c>
      <c r="R396" s="8" t="b">
        <f>_xlfn.XLOOKUP(CONTROL[[#This Row],[VEHIDCODE]],PROPERTIES[VEHIDCODE],PROPERTIES[EXCLUDE])</f>
        <v>0</v>
      </c>
    </row>
    <row r="397" spans="1:18">
      <c r="A397" s="2" t="s">
        <v>3111</v>
      </c>
      <c r="B397" s="26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7" t="s">
        <v>2620</v>
      </c>
      <c r="G397" t="s">
        <v>1458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6" t="str">
        <f>"item_"&amp;CONTROL[[#This Row],[VEHIDCODE]]</f>
        <v>item_electric_AEG_BBC_Henschel_Siemens_E03</v>
      </c>
      <c r="P397" s="26" t="str">
        <f>"str_"&amp;CONTROL[[#This Row],[VEHIDCODE]]</f>
        <v>str_electric_AEG_BBC_Henschel_Siemens_E03</v>
      </c>
      <c r="Q397" s="8" t="b">
        <f>_xlfn.XLOOKUP(CONTROL[[#This Row],[VEHIDCODE]],PROPERTIES[VEHIDCODE],PROPERTIES[IS_CONCEPT])="IS_CONCEPT"</f>
        <v>0</v>
      </c>
      <c r="R397" s="8" t="b">
        <f>_xlfn.XLOOKUP(CONTROL[[#This Row],[VEHIDCODE]],PROPERTIES[VEHIDCODE],PROPERTIES[EXCLUDE])</f>
        <v>0</v>
      </c>
    </row>
    <row r="398" spans="1:18">
      <c r="A398" s="2" t="s">
        <v>3112</v>
      </c>
      <c r="B398" s="26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7" t="s">
        <v>2338</v>
      </c>
      <c r="G398" t="s">
        <v>1459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6" t="str">
        <f>"item_"&amp;CONTROL[[#This Row],[VEHIDCODE]]</f>
        <v>item_electric_Krauss_WASSEG_E_91_9</v>
      </c>
      <c r="P398" s="26" t="str">
        <f>"str_"&amp;CONTROL[[#This Row],[VEHIDCODE]]</f>
        <v>str_electric_Krauss_WASSEG_E_91_9</v>
      </c>
      <c r="Q398" s="8" t="b">
        <f>_xlfn.XLOOKUP(CONTROL[[#This Row],[VEHIDCODE]],PROPERTIES[VEHIDCODE],PROPERTIES[IS_CONCEPT])="IS_CONCEPT"</f>
        <v>0</v>
      </c>
      <c r="R398" s="8" t="b">
        <f>_xlfn.XLOOKUP(CONTROL[[#This Row],[VEHIDCODE]],PROPERTIES[VEHIDCODE],PROPERTIES[EXCLUDE])</f>
        <v>0</v>
      </c>
    </row>
    <row r="399" spans="1:18">
      <c r="A399" s="2" t="s">
        <v>3113</v>
      </c>
      <c r="B399" s="26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7" t="s">
        <v>2339</v>
      </c>
      <c r="G399" t="s">
        <v>1460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6" t="str">
        <f>"item_"&amp;CONTROL[[#This Row],[VEHIDCODE]]</f>
        <v>item_electric_SLM_Ce_4_4</v>
      </c>
      <c r="P399" s="26" t="str">
        <f>"str_"&amp;CONTROL[[#This Row],[VEHIDCODE]]</f>
        <v>str_electric_SLM_Ce_4_4</v>
      </c>
      <c r="Q399" s="8" t="b">
        <f>_xlfn.XLOOKUP(CONTROL[[#This Row],[VEHIDCODE]],PROPERTIES[VEHIDCODE],PROPERTIES[IS_CONCEPT])="IS_CONCEPT"</f>
        <v>0</v>
      </c>
      <c r="R399" s="8" t="b">
        <f>_xlfn.XLOOKUP(CONTROL[[#This Row],[VEHIDCODE]],PROPERTIES[VEHIDCODE],PROPERTIES[EXCLUDE])</f>
        <v>0</v>
      </c>
    </row>
    <row r="400" spans="1:18">
      <c r="A400" s="2" t="s">
        <v>3114</v>
      </c>
      <c r="B400" s="26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7" t="s">
        <v>2340</v>
      </c>
      <c r="G400" t="s">
        <v>1461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6" t="str">
        <f>"item_"&amp;CONTROL[[#This Row],[VEHIDCODE]]</f>
        <v>item_electric_SLM_Ae_6_6</v>
      </c>
      <c r="P400" s="26" t="str">
        <f>"str_"&amp;CONTROL[[#This Row],[VEHIDCODE]]</f>
        <v>str_electric_SLM_Ae_6_6</v>
      </c>
      <c r="Q400" s="8" t="b">
        <f>_xlfn.XLOOKUP(CONTROL[[#This Row],[VEHIDCODE]],PROPERTIES[VEHIDCODE],PROPERTIES[IS_CONCEPT])="IS_CONCEPT"</f>
        <v>0</v>
      </c>
      <c r="R400" s="8" t="b">
        <f>_xlfn.XLOOKUP(CONTROL[[#This Row],[VEHIDCODE]],PROPERTIES[VEHIDCODE],PROPERTIES[EXCLUDE])</f>
        <v>0</v>
      </c>
    </row>
    <row r="401" spans="1:18">
      <c r="A401" s="2" t="s">
        <v>3115</v>
      </c>
      <c r="B401" s="26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7" t="s">
        <v>2024</v>
      </c>
      <c r="G401" t="s">
        <v>1462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6" t="str">
        <f>"item_"&amp;CONTROL[[#This Row],[VEHIDCODE]]</f>
        <v>item_electric_SLM_ABB_Lok_2000</v>
      </c>
      <c r="P401" s="26" t="str">
        <f>"str_"&amp;CONTROL[[#This Row],[VEHIDCODE]]</f>
        <v>str_electric_SLM_ABB_Lok_2000</v>
      </c>
      <c r="Q401" s="8" t="b">
        <f>_xlfn.XLOOKUP(CONTROL[[#This Row],[VEHIDCODE]],PROPERTIES[VEHIDCODE],PROPERTIES[IS_CONCEPT])="IS_CONCEPT"</f>
        <v>0</v>
      </c>
      <c r="R401" s="8" t="b">
        <f>_xlfn.XLOOKUP(CONTROL[[#This Row],[VEHIDCODE]],PROPERTIES[VEHIDCODE],PROPERTIES[EXCLUDE])</f>
        <v>0</v>
      </c>
    </row>
    <row r="402" spans="1:18">
      <c r="A402" s="2" t="s">
        <v>3116</v>
      </c>
      <c r="B402" s="26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7" t="s">
        <v>2342</v>
      </c>
      <c r="G402" t="s">
        <v>1463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6" t="str">
        <f>"item_"&amp;CONTROL[[#This Row],[VEHIDCODE]]</f>
        <v>item_electric_Stadler_Butler_Eem_923</v>
      </c>
      <c r="P402" s="26" t="str">
        <f>"str_"&amp;CONTROL[[#This Row],[VEHIDCODE]]</f>
        <v>str_electric_Stadler_Butler_Eem_923</v>
      </c>
      <c r="Q402" s="8" t="b">
        <f>_xlfn.XLOOKUP(CONTROL[[#This Row],[VEHIDCODE]],PROPERTIES[VEHIDCODE],PROPERTIES[IS_CONCEPT])="IS_CONCEPT"</f>
        <v>0</v>
      </c>
      <c r="R402" s="8" t="b">
        <f>_xlfn.XLOOKUP(CONTROL[[#This Row],[VEHIDCODE]],PROPERTIES[VEHIDCODE],PROPERTIES[EXCLUDE])</f>
        <v>0</v>
      </c>
    </row>
    <row r="403" spans="1:18">
      <c r="A403" s="2" t="s">
        <v>3117</v>
      </c>
      <c r="B403" s="26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7" t="s">
        <v>2621</v>
      </c>
      <c r="G403" t="s">
        <v>1464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6" t="str">
        <f>"item_"&amp;CONTROL[[#This Row],[VEHIDCODE]]</f>
        <v>item_electric_SGP_1044</v>
      </c>
      <c r="P403" s="26" t="str">
        <f>"str_"&amp;CONTROL[[#This Row],[VEHIDCODE]]</f>
        <v>str_electric_SGP_1044</v>
      </c>
      <c r="Q403" s="8" t="b">
        <f>_xlfn.XLOOKUP(CONTROL[[#This Row],[VEHIDCODE]],PROPERTIES[VEHIDCODE],PROPERTIES[IS_CONCEPT])="IS_CONCEPT"</f>
        <v>0</v>
      </c>
      <c r="R403" s="8" t="b">
        <f>_xlfn.XLOOKUP(CONTROL[[#This Row],[VEHIDCODE]],PROPERTIES[VEHIDCODE],PROPERTIES[EXCLUDE])</f>
        <v>0</v>
      </c>
    </row>
    <row r="404" spans="1:18">
      <c r="A404" s="2" t="s">
        <v>3118</v>
      </c>
      <c r="B404" s="26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7" t="s">
        <v>2622</v>
      </c>
      <c r="G404" t="s">
        <v>1465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6" t="str">
        <f>"item_"&amp;CONTROL[[#This Row],[VEHIDCODE]]</f>
        <v>item_electric_SGP_1063</v>
      </c>
      <c r="P404" s="26" t="str">
        <f>"str_"&amp;CONTROL[[#This Row],[VEHIDCODE]]</f>
        <v>str_electric_SGP_1063</v>
      </c>
      <c r="Q404" s="8" t="b">
        <f>_xlfn.XLOOKUP(CONTROL[[#This Row],[VEHIDCODE]],PROPERTIES[VEHIDCODE],PROPERTIES[IS_CONCEPT])="IS_CONCEPT"</f>
        <v>0</v>
      </c>
      <c r="R404" s="8" t="b">
        <f>_xlfn.XLOOKUP(CONTROL[[#This Row],[VEHIDCODE]],PROPERTIES[VEHIDCODE],PROPERTIES[EXCLUDE])</f>
        <v>0</v>
      </c>
    </row>
    <row r="405" spans="1:18">
      <c r="A405" s="2" t="s">
        <v>3119</v>
      </c>
      <c r="B405" s="26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7" t="s">
        <v>2343</v>
      </c>
      <c r="G405" t="s">
        <v>1466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6" t="str">
        <f>"item_"&amp;CONTROL[[#This Row],[VEHIDCODE]]</f>
        <v>item_electric_ASEA_Dm3</v>
      </c>
      <c r="P405" s="26" t="str">
        <f>"str_"&amp;CONTROL[[#This Row],[VEHIDCODE]]</f>
        <v>str_electric_ASEA_Dm3</v>
      </c>
      <c r="Q405" s="8" t="b">
        <f>_xlfn.XLOOKUP(CONTROL[[#This Row],[VEHIDCODE]],PROPERTIES[VEHIDCODE],PROPERTIES[IS_CONCEPT])="IS_CONCEPT"</f>
        <v>0</v>
      </c>
      <c r="R405" s="8" t="b">
        <f>_xlfn.XLOOKUP(CONTROL[[#This Row],[VEHIDCODE]],PROPERTIES[VEHIDCODE],PROPERTIES[EXCLUDE])</f>
        <v>0</v>
      </c>
    </row>
    <row r="406" spans="1:18">
      <c r="A406" s="2" t="s">
        <v>3120</v>
      </c>
      <c r="B406" s="26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7" t="s">
        <v>2026</v>
      </c>
      <c r="G406" t="s">
        <v>1467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6" t="str">
        <f>"item_"&amp;CONTROL[[#This Row],[VEHIDCODE]]</f>
        <v>item_electric_Bombardier_Traxx_H80_AC</v>
      </c>
      <c r="P406" s="26" t="str">
        <f>"str_"&amp;CONTROL[[#This Row],[VEHIDCODE]]</f>
        <v>str_electric_Bombardier_Traxx_H80_AC</v>
      </c>
      <c r="Q406" s="8" t="b">
        <f>_xlfn.XLOOKUP(CONTROL[[#This Row],[VEHIDCODE]],PROPERTIES[VEHIDCODE],PROPERTIES[IS_CONCEPT])="IS_CONCEPT"</f>
        <v>0</v>
      </c>
      <c r="R406" s="8" t="b">
        <f>_xlfn.XLOOKUP(CONTROL[[#This Row],[VEHIDCODE]],PROPERTIES[VEHIDCODE],PROPERTIES[EXCLUDE])</f>
        <v>0</v>
      </c>
    </row>
    <row r="407" spans="1:18">
      <c r="A407" s="2" t="s">
        <v>3121</v>
      </c>
      <c r="B407" s="26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7" t="s">
        <v>2344</v>
      </c>
      <c r="G407" t="s">
        <v>1468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6" t="str">
        <f>"item_"&amp;CONTROL[[#This Row],[VEHIDCODE]]</f>
        <v>item_electric_Siemens_Oa</v>
      </c>
      <c r="P407" s="26" t="str">
        <f>"str_"&amp;CONTROL[[#This Row],[VEHIDCODE]]</f>
        <v>str_electric_Siemens_Oa</v>
      </c>
      <c r="Q407" s="8" t="b">
        <f>_xlfn.XLOOKUP(CONTROL[[#This Row],[VEHIDCODE]],PROPERTIES[VEHIDCODE],PROPERTIES[IS_CONCEPT])="IS_CONCEPT"</f>
        <v>0</v>
      </c>
      <c r="R407" s="8" t="b">
        <f>_xlfn.XLOOKUP(CONTROL[[#This Row],[VEHIDCODE]],PROPERTIES[VEHIDCODE],PROPERTIES[EXCLUDE])</f>
        <v>0</v>
      </c>
    </row>
    <row r="408" spans="1:18">
      <c r="A408" s="2" t="s">
        <v>3122</v>
      </c>
      <c r="B408" s="26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7" t="s">
        <v>2650</v>
      </c>
      <c r="G408" t="s">
        <v>1469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6" t="str">
        <f>"item_"&amp;CONTROL[[#This Row],[VEHIDCODE]]</f>
        <v>item_electric_ASEA_F</v>
      </c>
      <c r="P408" s="26" t="str">
        <f>"str_"&amp;CONTROL[[#This Row],[VEHIDCODE]]</f>
        <v>str_electric_ASEA_F</v>
      </c>
      <c r="Q408" s="8" t="b">
        <f>_xlfn.XLOOKUP(CONTROL[[#This Row],[VEHIDCODE]],PROPERTIES[VEHIDCODE],PROPERTIES[IS_CONCEPT])="IS_CONCEPT"</f>
        <v>0</v>
      </c>
      <c r="R408" s="8" t="b">
        <f>_xlfn.XLOOKUP(CONTROL[[#This Row],[VEHIDCODE]],PROPERTIES[VEHIDCODE],PROPERTIES[EXCLUDE])</f>
        <v>0</v>
      </c>
    </row>
    <row r="409" spans="1:18">
      <c r="A409" s="2" t="s">
        <v>3123</v>
      </c>
      <c r="B409" s="26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7" t="s">
        <v>2690</v>
      </c>
      <c r="G409" t="s">
        <v>1470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6" t="str">
        <f>"item_"&amp;CONTROL[[#This Row],[VEHIDCODE]]</f>
        <v>item_electric_Thyssen_Henschel_EL17</v>
      </c>
      <c r="P409" s="26" t="str">
        <f>"str_"&amp;CONTROL[[#This Row],[VEHIDCODE]]</f>
        <v>str_electric_Thyssen_Henschel_EL17</v>
      </c>
      <c r="Q409" s="8" t="b">
        <f>_xlfn.XLOOKUP(CONTROL[[#This Row],[VEHIDCODE]],PROPERTIES[VEHIDCODE],PROPERTIES[IS_CONCEPT])="IS_CONCEPT"</f>
        <v>0</v>
      </c>
      <c r="R409" s="8" t="b">
        <f>_xlfn.XLOOKUP(CONTROL[[#This Row],[VEHIDCODE]],PROPERTIES[VEHIDCODE],PROPERTIES[EXCLUDE])</f>
        <v>0</v>
      </c>
    </row>
    <row r="410" spans="1:18">
      <c r="A410" s="2" t="s">
        <v>3124</v>
      </c>
      <c r="B410" s="26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7" t="s">
        <v>2345</v>
      </c>
      <c r="G410" t="s">
        <v>1471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6" t="str">
        <f>"item_"&amp;CONTROL[[#This Row],[VEHIDCODE]]</f>
        <v>item_electric_Borsig_SSW_ES_6</v>
      </c>
      <c r="P410" s="26" t="str">
        <f>"str_"&amp;CONTROL[[#This Row],[VEHIDCODE]]</f>
        <v>str_electric_Borsig_SSW_ES_6</v>
      </c>
      <c r="Q410" s="8" t="b">
        <f>_xlfn.XLOOKUP(CONTROL[[#This Row],[VEHIDCODE]],PROPERTIES[VEHIDCODE],PROPERTIES[IS_CONCEPT])="IS_CONCEPT"</f>
        <v>0</v>
      </c>
      <c r="R410" s="8" t="b">
        <f>_xlfn.XLOOKUP(CONTROL[[#This Row],[VEHIDCODE]],PROPERTIES[VEHIDCODE],PROPERTIES[EXCLUDE])</f>
        <v>0</v>
      </c>
    </row>
    <row r="411" spans="1:18">
      <c r="A411" s="2" t="s">
        <v>3125</v>
      </c>
      <c r="B411" s="26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7" t="s">
        <v>2641</v>
      </c>
      <c r="G411" t="s">
        <v>1472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6" t="str">
        <f>"item_"&amp;CONTROL[[#This Row],[VEHIDCODE]]</f>
        <v>item_electric_GE_EL_2B</v>
      </c>
      <c r="P411" s="26" t="str">
        <f>"str_"&amp;CONTROL[[#This Row],[VEHIDCODE]]</f>
        <v>str_electric_GE_EL_2B</v>
      </c>
      <c r="Q411" s="8" t="b">
        <f>_xlfn.XLOOKUP(CONTROL[[#This Row],[VEHIDCODE]],PROPERTIES[VEHIDCODE],PROPERTIES[IS_CONCEPT])="IS_CONCEPT"</f>
        <v>0</v>
      </c>
      <c r="R411" s="8" t="b">
        <f>_xlfn.XLOOKUP(CONTROL[[#This Row],[VEHIDCODE]],PROPERTIES[VEHIDCODE],PROPERTIES[EXCLUDE])</f>
        <v>0</v>
      </c>
    </row>
    <row r="412" spans="1:18">
      <c r="A412" s="2" t="s">
        <v>3126</v>
      </c>
      <c r="B412" s="26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7" t="s">
        <v>2640</v>
      </c>
      <c r="G412" t="s">
        <v>1473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6" t="str">
        <f>"item_"&amp;CONTROL[[#This Row],[VEHIDCODE]]</f>
        <v>item_electric_GE_W_1</v>
      </c>
      <c r="P412" s="26" t="str">
        <f>"str_"&amp;CONTROL[[#This Row],[VEHIDCODE]]</f>
        <v>str_electric_GE_W_1</v>
      </c>
      <c r="Q412" s="8" t="b">
        <f>_xlfn.XLOOKUP(CONTROL[[#This Row],[VEHIDCODE]],PROPERTIES[VEHIDCODE],PROPERTIES[IS_CONCEPT])="IS_CONCEPT"</f>
        <v>0</v>
      </c>
      <c r="R412" s="8" t="b">
        <f>_xlfn.XLOOKUP(CONTROL[[#This Row],[VEHIDCODE]],PROPERTIES[VEHIDCODE],PROPERTIES[EXCLUDE])</f>
        <v>0</v>
      </c>
    </row>
    <row r="413" spans="1:18">
      <c r="A413" s="2" t="s">
        <v>3127</v>
      </c>
      <c r="B413" s="26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7" t="s">
        <v>2346</v>
      </c>
      <c r="G413" t="s">
        <v>1474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6" t="str">
        <f>"item_"&amp;CONTROL[[#This Row],[VEHIDCODE]]</f>
        <v>item_electric_Westinghouse_6wOE_B1</v>
      </c>
      <c r="P413" s="26" t="str">
        <f>"str_"&amp;CONTROL[[#This Row],[VEHIDCODE]]</f>
        <v>str_electric_Westinghouse_6wOE_B1</v>
      </c>
      <c r="Q413" s="8" t="b">
        <f>_xlfn.XLOOKUP(CONTROL[[#This Row],[VEHIDCODE]],PROPERTIES[VEHIDCODE],PROPERTIES[IS_CONCEPT])="IS_CONCEPT"</f>
        <v>0</v>
      </c>
      <c r="R413" s="8" t="b">
        <f>_xlfn.XLOOKUP(CONTROL[[#This Row],[VEHIDCODE]],PROPERTIES[VEHIDCODE],PROPERTIES[EXCLUDE])</f>
        <v>0</v>
      </c>
    </row>
    <row r="414" spans="1:18">
      <c r="A414" s="2" t="s">
        <v>3128</v>
      </c>
      <c r="B414" s="26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7" t="s">
        <v>2347</v>
      </c>
      <c r="G414" t="s">
        <v>1475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6" t="str">
        <f>"item_"&amp;CONTROL[[#This Row],[VEHIDCODE]]</f>
        <v>item_electric_Siemens_E40_AG_V1</v>
      </c>
      <c r="P414" s="26" t="str">
        <f>"str_"&amp;CONTROL[[#This Row],[VEHIDCODE]]</f>
        <v>str_electric_Siemens_E40_AG_V1</v>
      </c>
      <c r="Q414" s="8" t="b">
        <f>_xlfn.XLOOKUP(CONTROL[[#This Row],[VEHIDCODE]],PROPERTIES[VEHIDCODE],PROPERTIES[IS_CONCEPT])="IS_CONCEPT"</f>
        <v>0</v>
      </c>
      <c r="R414" s="8" t="b">
        <f>_xlfn.XLOOKUP(CONTROL[[#This Row],[VEHIDCODE]],PROPERTIES[VEHIDCODE],PROPERTIES[EXCLUDE])</f>
        <v>0</v>
      </c>
    </row>
    <row r="415" spans="1:18">
      <c r="A415" s="2" t="s">
        <v>3129</v>
      </c>
      <c r="B415" s="26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7" t="s">
        <v>2623</v>
      </c>
      <c r="G415" t="s">
        <v>1476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6" t="str">
        <f>"item_"&amp;CONTROL[[#This Row],[VEHIDCODE]]</f>
        <v>item_electric_Zuzhou_SS6</v>
      </c>
      <c r="P415" s="26" t="str">
        <f>"str_"&amp;CONTROL[[#This Row],[VEHIDCODE]]</f>
        <v>str_electric_Zuzhou_SS6</v>
      </c>
      <c r="Q415" s="8" t="b">
        <f>_xlfn.XLOOKUP(CONTROL[[#This Row],[VEHIDCODE]],PROPERTIES[VEHIDCODE],PROPERTIES[IS_CONCEPT])="IS_CONCEPT"</f>
        <v>0</v>
      </c>
      <c r="R415" s="8" t="b">
        <f>_xlfn.XLOOKUP(CONTROL[[#This Row],[VEHIDCODE]],PROPERTIES[VEHIDCODE],PROPERTIES[EXCLUDE])</f>
        <v>0</v>
      </c>
    </row>
    <row r="416" spans="1:18">
      <c r="A416" s="2" t="s">
        <v>3130</v>
      </c>
      <c r="B416" s="26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7" t="s">
        <v>2624</v>
      </c>
      <c r="G416" t="s">
        <v>1477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6" t="str">
        <f>"item_"&amp;CONTROL[[#This Row],[VEHIDCODE]]</f>
        <v>item_electric_Zuzhou_SS3</v>
      </c>
      <c r="P416" s="26" t="str">
        <f>"str_"&amp;CONTROL[[#This Row],[VEHIDCODE]]</f>
        <v>str_electric_Zuzhou_SS3</v>
      </c>
      <c r="Q416" s="8" t="b">
        <f>_xlfn.XLOOKUP(CONTROL[[#This Row],[VEHIDCODE]],PROPERTIES[VEHIDCODE],PROPERTIES[IS_CONCEPT])="IS_CONCEPT"</f>
        <v>0</v>
      </c>
      <c r="R416" s="8" t="b">
        <f>_xlfn.XLOOKUP(CONTROL[[#This Row],[VEHIDCODE]],PROPERTIES[VEHIDCODE],PROPERTIES[EXCLUDE])</f>
        <v>0</v>
      </c>
    </row>
    <row r="417" spans="1:18">
      <c r="A417" s="2" t="s">
        <v>3131</v>
      </c>
      <c r="B417" s="26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7" t="s">
        <v>2348</v>
      </c>
      <c r="G417" t="s">
        <v>1478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6" t="str">
        <f>"item_"&amp;CONTROL[[#This Row],[VEHIDCODE]]</f>
        <v>item_electric_Toshiba_CNR_Dalian_HXD3</v>
      </c>
      <c r="P417" s="26" t="str">
        <f>"str_"&amp;CONTROL[[#This Row],[VEHIDCODE]]</f>
        <v>str_electric_Toshiba_CNR_Dalian_HXD3</v>
      </c>
      <c r="Q417" s="8" t="b">
        <f>_xlfn.XLOOKUP(CONTROL[[#This Row],[VEHIDCODE]],PROPERTIES[VEHIDCODE],PROPERTIES[IS_CONCEPT])="IS_CONCEPT"</f>
        <v>0</v>
      </c>
      <c r="R417" s="8" t="b">
        <f>_xlfn.XLOOKUP(CONTROL[[#This Row],[VEHIDCODE]],PROPERTIES[VEHIDCODE],PROPERTIES[EXCLUDE])</f>
        <v>0</v>
      </c>
    </row>
    <row r="418" spans="1:18">
      <c r="A418" s="2" t="s">
        <v>3132</v>
      </c>
      <c r="B418" s="26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7" t="s">
        <v>2349</v>
      </c>
      <c r="G418" t="s">
        <v>1479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6" t="str">
        <f>"item_"&amp;CONTROL[[#This Row],[VEHIDCODE]]</f>
        <v>item_electric_Toshiba_CRRC_HXD1D</v>
      </c>
      <c r="P418" s="26" t="str">
        <f>"str_"&amp;CONTROL[[#This Row],[VEHIDCODE]]</f>
        <v>str_electric_Toshiba_CRRC_HXD1D</v>
      </c>
      <c r="Q418" s="8" t="b">
        <f>_xlfn.XLOOKUP(CONTROL[[#This Row],[VEHIDCODE]],PROPERTIES[VEHIDCODE],PROPERTIES[IS_CONCEPT])="IS_CONCEPT"</f>
        <v>0</v>
      </c>
      <c r="R418" s="8" t="b">
        <f>_xlfn.XLOOKUP(CONTROL[[#This Row],[VEHIDCODE]],PROPERTIES[VEHIDCODE],PROPERTIES[EXCLUDE])</f>
        <v>0</v>
      </c>
    </row>
    <row r="419" spans="1:18">
      <c r="A419" s="2" t="s">
        <v>3133</v>
      </c>
      <c r="B419" s="26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7" t="s">
        <v>2350</v>
      </c>
      <c r="G419" t="s">
        <v>1480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6" t="str">
        <f>"item_"&amp;CONTROL[[#This Row],[VEHIDCODE]]</f>
        <v>item_electric_Kawasaki_6K</v>
      </c>
      <c r="P419" s="26" t="str">
        <f>"str_"&amp;CONTROL[[#This Row],[VEHIDCODE]]</f>
        <v>str_electric_Kawasaki_6K</v>
      </c>
      <c r="Q419" s="8" t="b">
        <f>_xlfn.XLOOKUP(CONTROL[[#This Row],[VEHIDCODE]],PROPERTIES[VEHIDCODE],PROPERTIES[IS_CONCEPT])="IS_CONCEPT"</f>
        <v>0</v>
      </c>
      <c r="R419" s="8" t="b">
        <f>_xlfn.XLOOKUP(CONTROL[[#This Row],[VEHIDCODE]],PROPERTIES[VEHIDCODE],PROPERTIES[EXCLUDE])</f>
        <v>0</v>
      </c>
    </row>
    <row r="420" spans="1:18">
      <c r="A420" s="2" t="s">
        <v>3134</v>
      </c>
      <c r="B420" s="26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7" t="s">
        <v>2351</v>
      </c>
      <c r="G420" t="s">
        <v>1481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6" t="str">
        <f>"item_"&amp;CONTROL[[#This Row],[VEHIDCODE]]</f>
        <v>item_electric_GE_E44</v>
      </c>
      <c r="P420" s="26" t="str">
        <f>"str_"&amp;CONTROL[[#This Row],[VEHIDCODE]]</f>
        <v>str_electric_GE_E44</v>
      </c>
      <c r="Q420" s="8" t="b">
        <f>_xlfn.XLOOKUP(CONTROL[[#This Row],[VEHIDCODE]],PROPERTIES[VEHIDCODE],PROPERTIES[IS_CONCEPT])="IS_CONCEPT"</f>
        <v>0</v>
      </c>
      <c r="R420" s="8" t="b">
        <f>_xlfn.XLOOKUP(CONTROL[[#This Row],[VEHIDCODE]],PROPERTIES[VEHIDCODE],PROPERTIES[EXCLUDE])</f>
        <v>0</v>
      </c>
    </row>
    <row r="421" spans="1:18">
      <c r="A421" s="2" t="s">
        <v>3135</v>
      </c>
      <c r="B421" s="26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7" t="s">
        <v>2364</v>
      </c>
      <c r="G421" t="s">
        <v>1482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6" t="str">
        <f>"item_"&amp;CONTROL[[#This Row],[VEHIDCODE]]</f>
        <v>item_electric_ASEA_Koncar_Rb</v>
      </c>
      <c r="P421" s="26" t="str">
        <f>"str_"&amp;CONTROL[[#This Row],[VEHIDCODE]]</f>
        <v>str_electric_ASEA_Koncar_Rb</v>
      </c>
      <c r="Q421" s="8" t="b">
        <f>_xlfn.XLOOKUP(CONTROL[[#This Row],[VEHIDCODE]],PROPERTIES[VEHIDCODE],PROPERTIES[IS_CONCEPT])="IS_CONCEPT"</f>
        <v>0</v>
      </c>
      <c r="R421" s="8" t="b">
        <f>_xlfn.XLOOKUP(CONTROL[[#This Row],[VEHIDCODE]],PROPERTIES[VEHIDCODE],PROPERTIES[EXCLUDE])</f>
        <v>0</v>
      </c>
    </row>
    <row r="422" spans="1:18">
      <c r="A422" s="2" t="s">
        <v>3136</v>
      </c>
      <c r="B422" s="26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7" t="s">
        <v>2691</v>
      </c>
      <c r="G422" t="s">
        <v>1483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6" t="str">
        <f>"item_"&amp;CONTROL[[#This Row],[VEHIDCODE]]</f>
        <v>item_electric_Ganz_MAVAG_VM14_V43</v>
      </c>
      <c r="P422" s="26" t="str">
        <f>"str_"&amp;CONTROL[[#This Row],[VEHIDCODE]]</f>
        <v>str_electric_Ganz_MAVAG_VM14_V43</v>
      </c>
      <c r="Q422" s="8" t="b">
        <f>_xlfn.XLOOKUP(CONTROL[[#This Row],[VEHIDCODE]],PROPERTIES[VEHIDCODE],PROPERTIES[IS_CONCEPT])="IS_CONCEPT"</f>
        <v>0</v>
      </c>
      <c r="R422" s="8" t="b">
        <f>_xlfn.XLOOKUP(CONTROL[[#This Row],[VEHIDCODE]],PROPERTIES[VEHIDCODE],PROPERTIES[EXCLUDE])</f>
        <v>0</v>
      </c>
    </row>
    <row r="423" spans="1:18">
      <c r="A423" s="2" t="s">
        <v>3137</v>
      </c>
      <c r="B423" s="26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7" t="s">
        <v>2692</v>
      </c>
      <c r="G423" t="s">
        <v>1484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6" t="str">
        <f>"item_"&amp;CONTROL[[#This Row],[VEHIDCODE]]</f>
        <v>item_electric_Alsthom_CP_2500</v>
      </c>
      <c r="P423" s="26" t="str">
        <f>"str_"&amp;CONTROL[[#This Row],[VEHIDCODE]]</f>
        <v>str_electric_Alsthom_CP_2500</v>
      </c>
      <c r="Q423" s="8" t="b">
        <f>_xlfn.XLOOKUP(CONTROL[[#This Row],[VEHIDCODE]],PROPERTIES[VEHIDCODE],PROPERTIES[IS_CONCEPT])="IS_CONCEPT"</f>
        <v>0</v>
      </c>
      <c r="R423" s="8" t="b">
        <f>_xlfn.XLOOKUP(CONTROL[[#This Row],[VEHIDCODE]],PROPERTIES[VEHIDCODE],PROPERTIES[EXCLUDE])</f>
        <v>0</v>
      </c>
    </row>
    <row r="424" spans="1:18">
      <c r="A424" s="2" t="s">
        <v>3138</v>
      </c>
      <c r="B424" s="26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7" t="s">
        <v>2628</v>
      </c>
      <c r="G424" t="s">
        <v>1485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6" t="str">
        <f>"item_"&amp;CONTROL[[#This Row],[VEHIDCODE]]</f>
        <v>item_electric_Alsthom_CP_2600</v>
      </c>
      <c r="P424" s="26" t="str">
        <f>"str_"&amp;CONTROL[[#This Row],[VEHIDCODE]]</f>
        <v>str_electric_Alsthom_CP_2600</v>
      </c>
      <c r="Q424" s="8" t="b">
        <f>_xlfn.XLOOKUP(CONTROL[[#This Row],[VEHIDCODE]],PROPERTIES[VEHIDCODE],PROPERTIES[IS_CONCEPT])="IS_CONCEPT"</f>
        <v>0</v>
      </c>
      <c r="R424" s="8" t="b">
        <f>_xlfn.XLOOKUP(CONTROL[[#This Row],[VEHIDCODE]],PROPERTIES[VEHIDCODE],PROPERTIES[EXCLUDE])</f>
        <v>0</v>
      </c>
    </row>
    <row r="425" spans="1:18">
      <c r="A425" s="2" t="s">
        <v>3139</v>
      </c>
      <c r="B425" s="26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7" t="s">
        <v>2362</v>
      </c>
      <c r="G425" t="s">
        <v>1486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6" t="str">
        <f>"item_"&amp;CONTROL[[#This Row],[VEHIDCODE]]</f>
        <v>item_electric_ZELC_20E_China_Doll</v>
      </c>
      <c r="P425" s="26" t="str">
        <f>"str_"&amp;CONTROL[[#This Row],[VEHIDCODE]]</f>
        <v>str_electric_ZELC_20E_China_Doll</v>
      </c>
      <c r="Q425" s="8" t="b">
        <f>_xlfn.XLOOKUP(CONTROL[[#This Row],[VEHIDCODE]],PROPERTIES[VEHIDCODE],PROPERTIES[IS_CONCEPT])="IS_CONCEPT"</f>
        <v>0</v>
      </c>
      <c r="R425" s="8" t="b">
        <f>_xlfn.XLOOKUP(CONTROL[[#This Row],[VEHIDCODE]],PROPERTIES[VEHIDCODE],PROPERTIES[EXCLUDE])</f>
        <v>0</v>
      </c>
    </row>
    <row r="426" spans="1:18">
      <c r="A426" s="2" t="s">
        <v>3538</v>
      </c>
      <c r="B426" s="26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7" t="s">
        <v>3569</v>
      </c>
      <c r="G426" t="s">
        <v>1487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6" t="str">
        <f>"item_"&amp;CONTROL[[#This Row],[VEHIDCODE]]</f>
        <v>item_electric_Siemens_EuroSprinter_ES64F</v>
      </c>
      <c r="P426" s="26" t="str">
        <f>"str_"&amp;CONTROL[[#This Row],[VEHIDCODE]]</f>
        <v>str_electric_Siemens_EuroSprinter_ES64F</v>
      </c>
      <c r="Q426" s="8" t="b">
        <f>_xlfn.XLOOKUP(CONTROL[[#This Row],[VEHIDCODE]],PROPERTIES[VEHIDCODE],PROPERTIES[IS_CONCEPT])="IS_CONCEPT"</f>
        <v>0</v>
      </c>
      <c r="R426" s="8" t="b">
        <f>_xlfn.XLOOKUP(CONTROL[[#This Row],[VEHIDCODE]],PROPERTIES[VEHIDCODE],PROPERTIES[EXCLUDE])</f>
        <v>0</v>
      </c>
    </row>
    <row r="427" spans="1:18">
      <c r="A427" s="2" t="s">
        <v>3140</v>
      </c>
      <c r="B427" s="26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7" t="s">
        <v>2105</v>
      </c>
      <c r="G427" t="s">
        <v>1488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6" t="str">
        <f>"item_"&amp;CONTROL[[#This Row],[VEHIDCODE]]</f>
        <v>item_electric_DEVZ_DS3</v>
      </c>
      <c r="P427" s="26" t="str">
        <f>"str_"&amp;CONTROL[[#This Row],[VEHIDCODE]]</f>
        <v>str_electric_DEVZ_DS3</v>
      </c>
      <c r="Q427" s="8" t="b">
        <f>_xlfn.XLOOKUP(CONTROL[[#This Row],[VEHIDCODE]],PROPERTIES[VEHIDCODE],PROPERTIES[IS_CONCEPT])="IS_CONCEPT"</f>
        <v>0</v>
      </c>
      <c r="R427" s="8" t="b">
        <f>_xlfn.XLOOKUP(CONTROL[[#This Row],[VEHIDCODE]],PROPERTIES[VEHIDCODE],PROPERTIES[EXCLUDE])</f>
        <v>0</v>
      </c>
    </row>
    <row r="428" spans="1:18">
      <c r="A428" s="2" t="s">
        <v>3141</v>
      </c>
      <c r="B428" s="26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7" t="s">
        <v>2019</v>
      </c>
      <c r="G428" t="s">
        <v>1489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6" t="str">
        <f>"item_"&amp;CONTROL[[#This Row],[VEHIDCODE]]</f>
        <v>item_electric_Skoda_47E</v>
      </c>
      <c r="P428" s="26" t="str">
        <f>"str_"&amp;CONTROL[[#This Row],[VEHIDCODE]]</f>
        <v>str_electric_Skoda_47E</v>
      </c>
      <c r="Q428" s="8" t="b">
        <f>_xlfn.XLOOKUP(CONTROL[[#This Row],[VEHIDCODE]],PROPERTIES[VEHIDCODE],PROPERTIES[IS_CONCEPT])="IS_CONCEPT"</f>
        <v>0</v>
      </c>
      <c r="R428" s="8" t="b">
        <f>_xlfn.XLOOKUP(CONTROL[[#This Row],[VEHIDCODE]],PROPERTIES[VEHIDCODE],PROPERTIES[EXCLUDE])</f>
        <v>0</v>
      </c>
    </row>
    <row r="429" spans="1:18">
      <c r="A429" s="2" t="s">
        <v>3142</v>
      </c>
      <c r="B429" s="26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7" t="s">
        <v>2363</v>
      </c>
      <c r="G429" t="s">
        <v>1490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6" t="str">
        <f>"item_"&amp;CONTROL[[#This Row],[VEHIDCODE]]</f>
        <v>item_electric_Ansaldo___Breda_C_F_E_491</v>
      </c>
      <c r="P429" s="26" t="str">
        <f>"str_"&amp;CONTROL[[#This Row],[VEHIDCODE]]</f>
        <v>str_electric_Ansaldo___Breda_C_F_E_491</v>
      </c>
      <c r="Q429" s="8" t="b">
        <f>_xlfn.XLOOKUP(CONTROL[[#This Row],[VEHIDCODE]],PROPERTIES[VEHIDCODE],PROPERTIES[IS_CONCEPT])="IS_CONCEPT"</f>
        <v>0</v>
      </c>
      <c r="R429" s="8" t="b">
        <f>_xlfn.XLOOKUP(CONTROL[[#This Row],[VEHIDCODE]],PROPERTIES[VEHIDCODE],PROPERTIES[EXCLUDE])</f>
        <v>0</v>
      </c>
    </row>
    <row r="430" spans="1:18">
      <c r="A430" s="2" t="s">
        <v>3143</v>
      </c>
      <c r="B430" s="26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7" t="s">
        <v>3566</v>
      </c>
      <c r="G430" t="s">
        <v>1491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6" t="str">
        <f>"item_"&amp;CONTROL[[#This Row],[VEHIDCODE]]</f>
        <v>item_electric_ASEA_Electroputere_Rb</v>
      </c>
      <c r="P430" s="26" t="str">
        <f>"str_"&amp;CONTROL[[#This Row],[VEHIDCODE]]</f>
        <v>str_electric_ASEA_Electroputere_Rb</v>
      </c>
      <c r="Q430" s="8" t="b">
        <f>_xlfn.XLOOKUP(CONTROL[[#This Row],[VEHIDCODE]],PROPERTIES[VEHIDCODE],PROPERTIES[IS_CONCEPT])="IS_CONCEPT"</f>
        <v>0</v>
      </c>
      <c r="R430" s="8" t="b">
        <f>_xlfn.XLOOKUP(CONTROL[[#This Row],[VEHIDCODE]],PROPERTIES[VEHIDCODE],PROPERTIES[EXCLUDE])</f>
        <v>0</v>
      </c>
    </row>
    <row r="431" spans="1:18">
      <c r="A431" s="2" t="s">
        <v>3144</v>
      </c>
      <c r="B431" s="26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7" t="s">
        <v>2365</v>
      </c>
      <c r="G431" t="s">
        <v>1492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6" t="str">
        <f>"item_"&amp;CONTROL[[#This Row],[VEHIDCODE]]</f>
        <v>item_electric_CEF_BB_1600</v>
      </c>
      <c r="P431" s="26" t="str">
        <f>"str_"&amp;CONTROL[[#This Row],[VEHIDCODE]]</f>
        <v>str_electric_CEF_BB_1600</v>
      </c>
      <c r="Q431" s="8" t="b">
        <f>_xlfn.XLOOKUP(CONTROL[[#This Row],[VEHIDCODE]],PROPERTIES[VEHIDCODE],PROPERTIES[IS_CONCEPT])="IS_CONCEPT"</f>
        <v>0</v>
      </c>
      <c r="R431" s="8" t="b">
        <f>_xlfn.XLOOKUP(CONTROL[[#This Row],[VEHIDCODE]],PROPERTIES[VEHIDCODE],PROPERTIES[EXCLUDE])</f>
        <v>0</v>
      </c>
    </row>
    <row r="432" spans="1:18">
      <c r="A432" s="2" t="s">
        <v>3145</v>
      </c>
      <c r="B432" s="26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7" t="s">
        <v>3564</v>
      </c>
      <c r="G432" t="s">
        <v>1493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6" t="str">
        <f>"item_"&amp;CONTROL[[#This Row],[VEHIDCODE]]</f>
        <v>item_electric_BR_85</v>
      </c>
      <c r="P432" s="26" t="str">
        <f>"str_"&amp;CONTROL[[#This Row],[VEHIDCODE]]</f>
        <v>str_electric_BR_85</v>
      </c>
      <c r="Q432" s="8" t="b">
        <f>_xlfn.XLOOKUP(CONTROL[[#This Row],[VEHIDCODE]],PROPERTIES[VEHIDCODE],PROPERTIES[IS_CONCEPT])="IS_CONCEPT"</f>
        <v>0</v>
      </c>
      <c r="R432" s="8" t="b">
        <f>_xlfn.XLOOKUP(CONTROL[[#This Row],[VEHIDCODE]],PROPERTIES[VEHIDCODE],PROPERTIES[EXCLUDE])</f>
        <v>0</v>
      </c>
    </row>
    <row r="433" spans="1:18">
      <c r="A433" s="2" t="s">
        <v>3146</v>
      </c>
      <c r="B433" s="26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7" t="s">
        <v>2106</v>
      </c>
      <c r="G433" t="s">
        <v>1494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6" t="str">
        <f>"item_"&amp;CONTROL[[#This Row],[VEHIDCODE]]</f>
        <v>item_electric_GE_E60C_2</v>
      </c>
      <c r="P433" s="26" t="str">
        <f>"str_"&amp;CONTROL[[#This Row],[VEHIDCODE]]</f>
        <v>str_electric_GE_E60C_2</v>
      </c>
      <c r="Q433" s="8" t="b">
        <f>_xlfn.XLOOKUP(CONTROL[[#This Row],[VEHIDCODE]],PROPERTIES[VEHIDCODE],PROPERTIES[IS_CONCEPT])="IS_CONCEPT"</f>
        <v>0</v>
      </c>
      <c r="R433" s="8" t="b">
        <f>_xlfn.XLOOKUP(CONTROL[[#This Row],[VEHIDCODE]],PROPERTIES[VEHIDCODE],PROPERTIES[EXCLUDE])</f>
        <v>0</v>
      </c>
    </row>
    <row r="434" spans="1:18">
      <c r="A434" s="2" t="s">
        <v>3147</v>
      </c>
      <c r="B434" s="26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7" t="s">
        <v>3571</v>
      </c>
      <c r="G434" t="s">
        <v>1495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6" t="str">
        <f>"item_"&amp;CONTROL[[#This Row],[VEHIDCODE]]</f>
        <v>item_electric_Alstom_Prima_II</v>
      </c>
      <c r="P434" s="26" t="str">
        <f>"str_"&amp;CONTROL[[#This Row],[VEHIDCODE]]</f>
        <v>str_electric_Alstom_Prima_II</v>
      </c>
      <c r="Q434" s="8" t="b">
        <f>_xlfn.XLOOKUP(CONTROL[[#This Row],[VEHIDCODE]],PROPERTIES[VEHIDCODE],PROPERTIES[IS_CONCEPT])="IS_CONCEPT"</f>
        <v>0</v>
      </c>
      <c r="R434" s="8" t="b">
        <f>_xlfn.XLOOKUP(CONTROL[[#This Row],[VEHIDCODE]],PROPERTIES[VEHIDCODE],PROPERTIES[EXCLUDE])</f>
        <v>0</v>
      </c>
    </row>
    <row r="435" spans="1:18">
      <c r="A435" s="2" t="s">
        <v>3148</v>
      </c>
      <c r="B435" s="26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7" t="s">
        <v>2366</v>
      </c>
      <c r="G435" t="s">
        <v>1496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6" t="str">
        <f>"item_"&amp;CONTROL[[#This Row],[VEHIDCODE]]</f>
        <v>item_electric_Toshiba_EA</v>
      </c>
      <c r="P435" s="26" t="str">
        <f>"str_"&amp;CONTROL[[#This Row],[VEHIDCODE]]</f>
        <v>str_electric_Toshiba_EA</v>
      </c>
      <c r="Q435" s="8" t="b">
        <f>_xlfn.XLOOKUP(CONTROL[[#This Row],[VEHIDCODE]],PROPERTIES[VEHIDCODE],PROPERTIES[IS_CONCEPT])="IS_CONCEPT"</f>
        <v>0</v>
      </c>
      <c r="R435" s="8" t="b">
        <f>_xlfn.XLOOKUP(CONTROL[[#This Row],[VEHIDCODE]],PROPERTIES[VEHIDCODE],PROPERTIES[EXCLUDE])</f>
        <v>0</v>
      </c>
    </row>
    <row r="436" spans="1:18">
      <c r="A436" s="2" t="s">
        <v>3149</v>
      </c>
      <c r="B436" s="26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7" t="s">
        <v>2107</v>
      </c>
      <c r="G436" t="s">
        <v>1497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6" t="str">
        <f>"item_"&amp;CONTROL[[#This Row],[VEHIDCODE]]</f>
        <v>item_electric_ASEA_GMD_GF6C</v>
      </c>
      <c r="P436" s="26" t="str">
        <f>"str_"&amp;CONTROL[[#This Row],[VEHIDCODE]]</f>
        <v>str_electric_ASEA_GMD_GF6C</v>
      </c>
      <c r="Q436" s="8" t="b">
        <f>_xlfn.XLOOKUP(CONTROL[[#This Row],[VEHIDCODE]],PROPERTIES[VEHIDCODE],PROPERTIES[IS_CONCEPT])="IS_CONCEPT"</f>
        <v>0</v>
      </c>
      <c r="R436" s="8" t="b">
        <f>_xlfn.XLOOKUP(CONTROL[[#This Row],[VEHIDCODE]],PROPERTIES[VEHIDCODE],PROPERTIES[EXCLUDE])</f>
        <v>0</v>
      </c>
    </row>
    <row r="437" spans="1:18">
      <c r="A437" s="2" t="s">
        <v>3150</v>
      </c>
      <c r="B437" s="26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7" t="s">
        <v>2629</v>
      </c>
      <c r="G437" t="s">
        <v>1499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6" t="str">
        <f>"item_"&amp;CONTROL[[#This Row],[VEHIDCODE]]</f>
        <v>item_electric_Alsthom_BB_22200</v>
      </c>
      <c r="P437" s="26" t="str">
        <f>"str_"&amp;CONTROL[[#This Row],[VEHIDCODE]]</f>
        <v>str_electric_Alsthom_BB_22200</v>
      </c>
      <c r="Q437" s="8" t="b">
        <f>_xlfn.XLOOKUP(CONTROL[[#This Row],[VEHIDCODE]],PROPERTIES[VEHIDCODE],PROPERTIES[IS_CONCEPT])="IS_CONCEPT"</f>
        <v>0</v>
      </c>
      <c r="R437" s="8" t="b">
        <f>_xlfn.XLOOKUP(CONTROL[[#This Row],[VEHIDCODE]],PROPERTIES[VEHIDCODE],PROPERTIES[EXCLUDE])</f>
        <v>0</v>
      </c>
    </row>
    <row r="438" spans="1:18">
      <c r="A438" s="2" t="s">
        <v>3151</v>
      </c>
      <c r="B438" s="26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7" t="s">
        <v>2367</v>
      </c>
      <c r="G438" t="s">
        <v>1498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6" t="str">
        <f>"item_"&amp;CONTROL[[#This Row],[VEHIDCODE]]</f>
        <v>item_electric_GEC_Alsthom_BB_26000</v>
      </c>
      <c r="P438" s="26" t="str">
        <f>"str_"&amp;CONTROL[[#This Row],[VEHIDCODE]]</f>
        <v>str_electric_GEC_Alsthom_BB_26000</v>
      </c>
      <c r="Q438" s="8" t="b">
        <f>_xlfn.XLOOKUP(CONTROL[[#This Row],[VEHIDCODE]],PROPERTIES[VEHIDCODE],PROPERTIES[IS_CONCEPT])="IS_CONCEPT"</f>
        <v>0</v>
      </c>
      <c r="R438" s="8" t="b">
        <f>_xlfn.XLOOKUP(CONTROL[[#This Row],[VEHIDCODE]],PROPERTIES[VEHIDCODE],PROPERTIES[EXCLUDE])</f>
        <v>0</v>
      </c>
    </row>
    <row r="439" spans="1:18">
      <c r="A439" s="2" t="s">
        <v>3152</v>
      </c>
      <c r="B439" s="26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7" t="s">
        <v>2630</v>
      </c>
      <c r="G439" t="s">
        <v>1500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6" t="str">
        <f>"item_"&amp;CONTROL[[#This Row],[VEHIDCODE]]</f>
        <v>item_electric_Alsthom_BB_25500</v>
      </c>
      <c r="P439" s="26" t="str">
        <f>"str_"&amp;CONTROL[[#This Row],[VEHIDCODE]]</f>
        <v>str_electric_Alsthom_BB_25500</v>
      </c>
      <c r="Q439" s="8" t="b">
        <f>_xlfn.XLOOKUP(CONTROL[[#This Row],[VEHIDCODE]],PROPERTIES[VEHIDCODE],PROPERTIES[IS_CONCEPT])="IS_CONCEPT"</f>
        <v>0</v>
      </c>
      <c r="R439" s="8" t="b">
        <f>_xlfn.XLOOKUP(CONTROL[[#This Row],[VEHIDCODE]],PROPERTIES[VEHIDCODE],PROPERTIES[EXCLUDE])</f>
        <v>0</v>
      </c>
    </row>
    <row r="440" spans="1:18">
      <c r="A440" s="2" t="s">
        <v>3153</v>
      </c>
      <c r="B440" s="26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7" t="s">
        <v>3567</v>
      </c>
      <c r="G440" t="s">
        <v>1501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6" t="str">
        <f>"item_"&amp;CONTROL[[#This Row],[VEHIDCODE]]</f>
        <v>item_electric_Siemens_Eurosprinter_ES64U4</v>
      </c>
      <c r="P440" s="26" t="str">
        <f>"str_"&amp;CONTROL[[#This Row],[VEHIDCODE]]</f>
        <v>str_electric_Siemens_Eurosprinter_ES64U4</v>
      </c>
      <c r="Q440" s="8" t="b">
        <f>_xlfn.XLOOKUP(CONTROL[[#This Row],[VEHIDCODE]],PROPERTIES[VEHIDCODE],PROPERTIES[IS_CONCEPT])="IS_CONCEPT"</f>
        <v>0</v>
      </c>
      <c r="R440" s="8" t="b">
        <f>_xlfn.XLOOKUP(CONTROL[[#This Row],[VEHIDCODE]],PROPERTIES[VEHIDCODE],PROPERTIES[EXCLUDE])</f>
        <v>0</v>
      </c>
    </row>
    <row r="441" spans="1:18">
      <c r="A441" s="2" t="s">
        <v>3154</v>
      </c>
      <c r="B441" s="26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7" t="s">
        <v>2368</v>
      </c>
      <c r="G441" t="s">
        <v>1502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6" t="str">
        <f>"item_"&amp;CONTROL[[#This Row],[VEHIDCODE]]</f>
        <v>item_electric_Toshiba_EH500</v>
      </c>
      <c r="P441" s="26" t="str">
        <f>"str_"&amp;CONTROL[[#This Row],[VEHIDCODE]]</f>
        <v>str_electric_Toshiba_EH500</v>
      </c>
      <c r="Q441" s="8" t="b">
        <f>_xlfn.XLOOKUP(CONTROL[[#This Row],[VEHIDCODE]],PROPERTIES[VEHIDCODE],PROPERTIES[IS_CONCEPT])="IS_CONCEPT"</f>
        <v>0</v>
      </c>
      <c r="R441" s="8" t="b">
        <f>_xlfn.XLOOKUP(CONTROL[[#This Row],[VEHIDCODE]],PROPERTIES[VEHIDCODE],PROPERTIES[EXCLUDE])</f>
        <v>0</v>
      </c>
    </row>
    <row r="442" spans="1:18">
      <c r="A442" s="2" t="s">
        <v>3155</v>
      </c>
      <c r="B442" s="26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7" t="s">
        <v>2108</v>
      </c>
      <c r="G442" t="s">
        <v>1503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6" t="str">
        <f>"item_"&amp;CONTROL[[#This Row],[VEHIDCODE]]</f>
        <v>item_electric_ASEA_EMD_AEM_7</v>
      </c>
      <c r="P442" s="26" t="str">
        <f>"str_"&amp;CONTROL[[#This Row],[VEHIDCODE]]</f>
        <v>str_electric_ASEA_EMD_AEM_7</v>
      </c>
      <c r="Q442" s="8" t="b">
        <f>_xlfn.XLOOKUP(CONTROL[[#This Row],[VEHIDCODE]],PROPERTIES[VEHIDCODE],PROPERTIES[IS_CONCEPT])="IS_CONCEPT"</f>
        <v>0</v>
      </c>
      <c r="R442" s="8" t="b">
        <f>_xlfn.XLOOKUP(CONTROL[[#This Row],[VEHIDCODE]],PROPERTIES[VEHIDCODE],PROPERTIES[EXCLUDE])</f>
        <v>0</v>
      </c>
    </row>
    <row r="443" spans="1:18">
      <c r="A443" s="2" t="s">
        <v>3156</v>
      </c>
      <c r="B443" s="26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7" t="s">
        <v>2109</v>
      </c>
      <c r="G443" t="s">
        <v>1504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6" t="str">
        <f>"item_"&amp;CONTROL[[#This Row],[VEHIDCODE]]</f>
        <v>item_electric_Bombardier_Alstom_HHP_8</v>
      </c>
      <c r="P443" s="26" t="str">
        <f>"str_"&amp;CONTROL[[#This Row],[VEHIDCODE]]</f>
        <v>str_electric_Bombardier_Alstom_HHP_8</v>
      </c>
      <c r="Q443" s="8" t="b">
        <f>_xlfn.XLOOKUP(CONTROL[[#This Row],[VEHIDCODE]],PROPERTIES[VEHIDCODE],PROPERTIES[IS_CONCEPT])="IS_CONCEPT"</f>
        <v>0</v>
      </c>
      <c r="R443" s="8" t="b">
        <f>_xlfn.XLOOKUP(CONTROL[[#This Row],[VEHIDCODE]],PROPERTIES[VEHIDCODE],PROPERTIES[EXCLUDE])</f>
        <v>0</v>
      </c>
    </row>
    <row r="444" spans="1:18">
      <c r="A444" s="2" t="s">
        <v>3157</v>
      </c>
      <c r="B444" s="26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7" t="s">
        <v>2027</v>
      </c>
      <c r="G444" t="s">
        <v>1505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6" t="str">
        <f>"item_"&amp;CONTROL[[#This Row],[VEHIDCODE]]</f>
        <v>item_electric_Skoda_109E</v>
      </c>
      <c r="P444" s="26" t="str">
        <f>"str_"&amp;CONTROL[[#This Row],[VEHIDCODE]]</f>
        <v>str_electric_Skoda_109E</v>
      </c>
      <c r="Q444" s="8" t="b">
        <f>_xlfn.XLOOKUP(CONTROL[[#This Row],[VEHIDCODE]],PROPERTIES[VEHIDCODE],PROPERTIES[IS_CONCEPT])="IS_CONCEPT"</f>
        <v>0</v>
      </c>
      <c r="R444" s="8" t="b">
        <f>_xlfn.XLOOKUP(CONTROL[[#This Row],[VEHIDCODE]],PROPERTIES[VEHIDCODE],PROPERTIES[EXCLUDE])</f>
        <v>0</v>
      </c>
    </row>
    <row r="445" spans="1:18">
      <c r="A445" s="2" t="s">
        <v>3158</v>
      </c>
      <c r="B445" s="26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7" t="s">
        <v>2369</v>
      </c>
      <c r="G445" t="s">
        <v>1506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6" t="str">
        <f>"item_"&amp;CONTROL[[#This Row],[VEHIDCODE]]</f>
        <v>item_electric_CAF_Macosa_252</v>
      </c>
      <c r="P445" s="26" t="str">
        <f>"str_"&amp;CONTROL[[#This Row],[VEHIDCODE]]</f>
        <v>str_electric_CAF_Macosa_252</v>
      </c>
      <c r="Q445" s="8" t="b">
        <f>_xlfn.XLOOKUP(CONTROL[[#This Row],[VEHIDCODE]],PROPERTIES[VEHIDCODE],PROPERTIES[IS_CONCEPT])="IS_CONCEPT"</f>
        <v>0</v>
      </c>
      <c r="R445" s="8" t="b">
        <f>_xlfn.XLOOKUP(CONTROL[[#This Row],[VEHIDCODE]],PROPERTIES[VEHIDCODE],PROPERTIES[EXCLUDE])</f>
        <v>0</v>
      </c>
    </row>
    <row r="446" spans="1:18">
      <c r="A446" s="2" t="s">
        <v>3159</v>
      </c>
      <c r="B446" s="26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7" t="s">
        <v>2708</v>
      </c>
      <c r="G446" t="s">
        <v>1507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6" t="str">
        <f>"item_"&amp;CONTROL[[#This Row],[VEHIDCODE]]</f>
        <v>item_electric_Bombardier_Traxx_F140_MS</v>
      </c>
      <c r="P446" s="26" t="str">
        <f>"str_"&amp;CONTROL[[#This Row],[VEHIDCODE]]</f>
        <v>str_electric_Bombardier_Traxx_F140_MS</v>
      </c>
      <c r="Q446" s="8" t="b">
        <f>_xlfn.XLOOKUP(CONTROL[[#This Row],[VEHIDCODE]],PROPERTIES[VEHIDCODE],PROPERTIES[IS_CONCEPT])="IS_CONCEPT"</f>
        <v>0</v>
      </c>
      <c r="R446" s="8" t="b">
        <f>_xlfn.XLOOKUP(CONTROL[[#This Row],[VEHIDCODE]],PROPERTIES[VEHIDCODE],PROPERTIES[EXCLUDE])</f>
        <v>0</v>
      </c>
    </row>
    <row r="447" spans="1:18">
      <c r="A447" s="2" t="s">
        <v>3160</v>
      </c>
      <c r="B447" s="26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7" t="s">
        <v>2370</v>
      </c>
      <c r="G447" t="s">
        <v>1508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6" t="str">
        <f>"item_"&amp;CONTROL[[#This Row],[VEHIDCODE]]</f>
        <v>item_electric_TIBB_E_550</v>
      </c>
      <c r="P447" s="26" t="str">
        <f>"str_"&amp;CONTROL[[#This Row],[VEHIDCODE]]</f>
        <v>str_electric_TIBB_E_550</v>
      </c>
      <c r="Q447" s="8" t="b">
        <f>_xlfn.XLOOKUP(CONTROL[[#This Row],[VEHIDCODE]],PROPERTIES[VEHIDCODE],PROPERTIES[IS_CONCEPT])="IS_CONCEPT"</f>
        <v>0</v>
      </c>
      <c r="R447" s="8" t="b">
        <f>_xlfn.XLOOKUP(CONTROL[[#This Row],[VEHIDCODE]],PROPERTIES[VEHIDCODE],PROPERTIES[EXCLUDE])</f>
        <v>0</v>
      </c>
    </row>
    <row r="448" spans="1:18">
      <c r="A448" s="2" t="s">
        <v>3161</v>
      </c>
      <c r="B448" s="26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7" t="s">
        <v>2371</v>
      </c>
      <c r="G448" t="s">
        <v>1509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6" t="str">
        <f>"item_"&amp;CONTROL[[#This Row],[VEHIDCODE]]</f>
        <v>item_electric_Hitachi_EF81</v>
      </c>
      <c r="P448" s="26" t="str">
        <f>"str_"&amp;CONTROL[[#This Row],[VEHIDCODE]]</f>
        <v>str_electric_Hitachi_EF81</v>
      </c>
      <c r="Q448" s="8" t="b">
        <f>_xlfn.XLOOKUP(CONTROL[[#This Row],[VEHIDCODE]],PROPERTIES[VEHIDCODE],PROPERTIES[IS_CONCEPT])="IS_CONCEPT"</f>
        <v>0</v>
      </c>
      <c r="R448" s="8" t="b">
        <f>_xlfn.XLOOKUP(CONTROL[[#This Row],[VEHIDCODE]],PROPERTIES[VEHIDCODE],PROPERTIES[EXCLUDE])</f>
        <v>0</v>
      </c>
    </row>
    <row r="449" spans="1:18">
      <c r="A449" s="2" t="s">
        <v>3162</v>
      </c>
      <c r="B449" s="26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7" t="s">
        <v>2372</v>
      </c>
      <c r="G449" t="s">
        <v>1510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6" t="str">
        <f>"item_"&amp;CONTROL[[#This Row],[VEHIDCODE]]</f>
        <v>item_electric_ABB_Brush_Class_92</v>
      </c>
      <c r="P449" s="26" t="str">
        <f>"str_"&amp;CONTROL[[#This Row],[VEHIDCODE]]</f>
        <v>str_electric_ABB_Brush_Class_92</v>
      </c>
      <c r="Q449" s="8" t="b">
        <f>_xlfn.XLOOKUP(CONTROL[[#This Row],[VEHIDCODE]],PROPERTIES[VEHIDCODE],PROPERTIES[IS_CONCEPT])="IS_CONCEPT"</f>
        <v>0</v>
      </c>
      <c r="R449" s="8" t="b">
        <f>_xlfn.XLOOKUP(CONTROL[[#This Row],[VEHIDCODE]],PROPERTIES[VEHIDCODE],PROPERTIES[EXCLUDE])</f>
        <v>0</v>
      </c>
    </row>
    <row r="450" spans="1:18">
      <c r="A450" s="2" t="s">
        <v>3163</v>
      </c>
      <c r="B450" s="26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7" t="s">
        <v>2110</v>
      </c>
      <c r="G450" t="s">
        <v>1511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6" t="str">
        <f>"item_"&amp;CONTROL[[#This Row],[VEHIDCODE]]</f>
        <v>item_electric_Siemens_ACS_64</v>
      </c>
      <c r="P450" s="26" t="str">
        <f>"str_"&amp;CONTROL[[#This Row],[VEHIDCODE]]</f>
        <v>str_electric_Siemens_ACS_64</v>
      </c>
      <c r="Q450" s="8" t="b">
        <f>_xlfn.XLOOKUP(CONTROL[[#This Row],[VEHIDCODE]],PROPERTIES[VEHIDCODE],PROPERTIES[IS_CONCEPT])="IS_CONCEPT"</f>
        <v>0</v>
      </c>
      <c r="R450" s="8" t="b">
        <f>_xlfn.XLOOKUP(CONTROL[[#This Row],[VEHIDCODE]],PROPERTIES[VEHIDCODE],PROPERTIES[EXCLUDE])</f>
        <v>0</v>
      </c>
    </row>
    <row r="451" spans="1:18">
      <c r="A451" s="2" t="s">
        <v>3164</v>
      </c>
      <c r="B451" s="26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7" t="s">
        <v>3565</v>
      </c>
      <c r="G451" t="s">
        <v>1512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6" t="str">
        <f>"item_"&amp;CONTROL[[#This Row],[VEHIDCODE]]</f>
        <v>item_electric_Alsthom_CC_40101</v>
      </c>
      <c r="P451" s="26" t="str">
        <f>"str_"&amp;CONTROL[[#This Row],[VEHIDCODE]]</f>
        <v>str_electric_Alsthom_CC_40101</v>
      </c>
      <c r="Q451" s="8" t="b">
        <f>_xlfn.XLOOKUP(CONTROL[[#This Row],[VEHIDCODE]],PROPERTIES[VEHIDCODE],PROPERTIES[IS_CONCEPT])="IS_CONCEPT"</f>
        <v>0</v>
      </c>
      <c r="R451" s="8" t="b">
        <f>_xlfn.XLOOKUP(CONTROL[[#This Row],[VEHIDCODE]],PROPERTIES[VEHIDCODE],PROPERTIES[EXCLUDE])</f>
        <v>0</v>
      </c>
    </row>
    <row r="452" spans="1:18">
      <c r="A452" s="2" t="s">
        <v>3165</v>
      </c>
      <c r="B452" s="26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7" t="s">
        <v>2631</v>
      </c>
      <c r="G452" t="s">
        <v>1513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6" t="str">
        <f>"item_"&amp;CONTROL[[#This Row],[VEHIDCODE]]</f>
        <v>item_electric_Alsthom_Class_13_HLE</v>
      </c>
      <c r="P452" s="26" t="str">
        <f>"str_"&amp;CONTROL[[#This Row],[VEHIDCODE]]</f>
        <v>str_electric_Alsthom_Class_13_HLE</v>
      </c>
      <c r="Q452" s="8" t="b">
        <f>_xlfn.XLOOKUP(CONTROL[[#This Row],[VEHIDCODE]],PROPERTIES[VEHIDCODE],PROPERTIES[IS_CONCEPT])="IS_CONCEPT"</f>
        <v>0</v>
      </c>
      <c r="R452" s="8" t="b">
        <f>_xlfn.XLOOKUP(CONTROL[[#This Row],[VEHIDCODE]],PROPERTIES[VEHIDCODE],PROPERTIES[EXCLUDE])</f>
        <v>0</v>
      </c>
    </row>
    <row r="453" spans="1:18">
      <c r="A453" s="2" t="s">
        <v>3166</v>
      </c>
      <c r="B453" s="26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7" t="s">
        <v>2373</v>
      </c>
      <c r="G453" t="s">
        <v>1521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6" t="str">
        <f>"item_"&amp;CONTROL[[#This Row],[VEHIDCODE]]</f>
        <v>item_dmu_LHB_VT_04_0_Flying_Hamburger</v>
      </c>
      <c r="P453" s="26" t="str">
        <f>"str_"&amp;CONTROL[[#This Row],[VEHIDCODE]]</f>
        <v>str_dmu_LHB_VT_04_0_Flying_Hamburger</v>
      </c>
      <c r="Q453" s="8" t="b">
        <f>_xlfn.XLOOKUP(CONTROL[[#This Row],[VEHIDCODE]],PROPERTIES[VEHIDCODE],PROPERTIES[IS_CONCEPT])="IS_CONCEPT"</f>
        <v>0</v>
      </c>
      <c r="R453" s="8" t="b">
        <f>_xlfn.XLOOKUP(CONTROL[[#This Row],[VEHIDCODE]],PROPERTIES[VEHIDCODE],PROPERTIES[EXCLUDE])</f>
        <v>0</v>
      </c>
    </row>
    <row r="454" spans="1:18">
      <c r="A454" s="2" t="s">
        <v>3167</v>
      </c>
      <c r="B454" s="26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7" t="s">
        <v>2374</v>
      </c>
      <c r="G454" t="s">
        <v>1514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6" t="str">
        <f>"item_"&amp;CONTROL[[#This Row],[VEHIDCODE]]</f>
        <v>item_dmu_Harland___Wolf_Silver_City_Comet</v>
      </c>
      <c r="P454" s="26" t="str">
        <f>"str_"&amp;CONTROL[[#This Row],[VEHIDCODE]]</f>
        <v>str_dmu_Harland___Wolf_Silver_City_Comet</v>
      </c>
      <c r="Q454" s="8" t="b">
        <f>_xlfn.XLOOKUP(CONTROL[[#This Row],[VEHIDCODE]],PROPERTIES[VEHIDCODE],PROPERTIES[IS_CONCEPT])="IS_CONCEPT"</f>
        <v>0</v>
      </c>
      <c r="R454" s="8" t="b">
        <f>_xlfn.XLOOKUP(CONTROL[[#This Row],[VEHIDCODE]],PROPERTIES[VEHIDCODE],PROPERTIES[EXCLUDE])</f>
        <v>0</v>
      </c>
    </row>
    <row r="455" spans="1:18">
      <c r="A455" s="2" t="s">
        <v>3168</v>
      </c>
      <c r="B455" s="26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7" t="s">
        <v>2375</v>
      </c>
      <c r="G455" t="s">
        <v>1515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6" t="str">
        <f>"item_"&amp;CONTROL[[#This Row],[VEHIDCODE]]</f>
        <v>item_dmu_Tatra_M131</v>
      </c>
      <c r="P455" s="26" t="str">
        <f>"str_"&amp;CONTROL[[#This Row],[VEHIDCODE]]</f>
        <v>str_dmu_Tatra_M131</v>
      </c>
      <c r="Q455" s="8" t="b">
        <f>_xlfn.XLOOKUP(CONTROL[[#This Row],[VEHIDCODE]],PROPERTIES[VEHIDCODE],PROPERTIES[IS_CONCEPT])="IS_CONCEPT"</f>
        <v>0</v>
      </c>
      <c r="R455" s="8" t="b">
        <f>_xlfn.XLOOKUP(CONTROL[[#This Row],[VEHIDCODE]],PROPERTIES[VEHIDCODE],PROPERTIES[EXCLUDE])</f>
        <v>0</v>
      </c>
    </row>
    <row r="456" spans="1:18">
      <c r="A456" s="2" t="s">
        <v>3169</v>
      </c>
      <c r="B456" s="26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7" t="s">
        <v>2376</v>
      </c>
      <c r="G456" t="s">
        <v>1516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6" t="str">
        <f>"item_"&amp;CONTROL[[#This Row],[VEHIDCODE]]</f>
        <v>item_dmu_MAN_VT_08_5</v>
      </c>
      <c r="P456" s="26" t="str">
        <f>"str_"&amp;CONTROL[[#This Row],[VEHIDCODE]]</f>
        <v>str_dmu_MAN_VT_08_5</v>
      </c>
      <c r="Q456" s="8" t="b">
        <f>_xlfn.XLOOKUP(CONTROL[[#This Row],[VEHIDCODE]],PROPERTIES[VEHIDCODE],PROPERTIES[IS_CONCEPT])="IS_CONCEPT"</f>
        <v>0</v>
      </c>
      <c r="R456" s="8" t="b">
        <f>_xlfn.XLOOKUP(CONTROL[[#This Row],[VEHIDCODE]],PROPERTIES[VEHIDCODE],PROPERTIES[EXCLUDE])</f>
        <v>0</v>
      </c>
    </row>
    <row r="457" spans="1:18">
      <c r="A457" s="2" t="s">
        <v>3170</v>
      </c>
      <c r="B457" s="26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7" t="s">
        <v>565</v>
      </c>
      <c r="G457" t="s">
        <v>1517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6" t="str">
        <f>"item_"&amp;CONTROL[[#This Row],[VEHIDCODE]]</f>
        <v>item_dmu_South_Australian_Railways_400_Redhen</v>
      </c>
      <c r="P457" s="26" t="str">
        <f>"str_"&amp;CONTROL[[#This Row],[VEHIDCODE]]</f>
        <v>str_dmu_South_Australian_Railways_400_Redhen</v>
      </c>
      <c r="Q457" s="8" t="b">
        <f>_xlfn.XLOOKUP(CONTROL[[#This Row],[VEHIDCODE]],PROPERTIES[VEHIDCODE],PROPERTIES[IS_CONCEPT])="IS_CONCEPT"</f>
        <v>0</v>
      </c>
      <c r="R457" s="8" t="b">
        <f>_xlfn.XLOOKUP(CONTROL[[#This Row],[VEHIDCODE]],PROPERTIES[VEHIDCODE],PROPERTIES[EXCLUDE])</f>
        <v>0</v>
      </c>
    </row>
    <row r="458" spans="1:18">
      <c r="A458" s="2" t="s">
        <v>3171</v>
      </c>
      <c r="B458" s="26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7" t="s">
        <v>3617</v>
      </c>
      <c r="G458" t="s">
        <v>1518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6" t="str">
        <f>"item_"&amp;CONTROL[[#This Row],[VEHIDCODE]]</f>
        <v>item_dmu_MAN_LHB_VT11_5___DB_601_TEE</v>
      </c>
      <c r="P458" s="26" t="str">
        <f>"str_"&amp;CONTROL[[#This Row],[VEHIDCODE]]</f>
        <v>str_dmu_MAN_LHB_VT11_5___DB_601_TEE</v>
      </c>
      <c r="Q458" s="8" t="b">
        <f>_xlfn.XLOOKUP(CONTROL[[#This Row],[VEHIDCODE]],PROPERTIES[VEHIDCODE],PROPERTIES[IS_CONCEPT])="IS_CONCEPT"</f>
        <v>0</v>
      </c>
      <c r="R458" s="8" t="b">
        <f>_xlfn.XLOOKUP(CONTROL[[#This Row],[VEHIDCODE]],PROPERTIES[VEHIDCODE],PROPERTIES[EXCLUDE])</f>
        <v>0</v>
      </c>
    </row>
    <row r="459" spans="1:18">
      <c r="A459" s="2" t="s">
        <v>3172</v>
      </c>
      <c r="B459" s="26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7" t="s">
        <v>2377</v>
      </c>
      <c r="G459" t="s">
        <v>1519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6" t="str">
        <f>"item_"&amp;CONTROL[[#This Row],[VEHIDCODE]]</f>
        <v>item_dmu_Werkspoor_Plan_U_DE_III</v>
      </c>
      <c r="P459" s="26" t="str">
        <f>"str_"&amp;CONTROL[[#This Row],[VEHIDCODE]]</f>
        <v>str_dmu_Werkspoor_Plan_U_DE_III</v>
      </c>
      <c r="Q459" s="8" t="b">
        <f>_xlfn.XLOOKUP(CONTROL[[#This Row],[VEHIDCODE]],PROPERTIES[VEHIDCODE],PROPERTIES[IS_CONCEPT])="IS_CONCEPT"</f>
        <v>0</v>
      </c>
      <c r="R459" s="8" t="b">
        <f>_xlfn.XLOOKUP(CONTROL[[#This Row],[VEHIDCODE]],PROPERTIES[VEHIDCODE],PROPERTIES[EXCLUDE])</f>
        <v>0</v>
      </c>
    </row>
    <row r="460" spans="1:18">
      <c r="A460" s="2" t="s">
        <v>3173</v>
      </c>
      <c r="B460" s="26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7" t="s">
        <v>2378</v>
      </c>
      <c r="G460" t="s">
        <v>1520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6" t="str">
        <f>"item_"&amp;CONTROL[[#This Row],[VEHIDCODE]]</f>
        <v>item_dmu_UAC_Turbo_Train</v>
      </c>
      <c r="P460" s="26" t="str">
        <f>"str_"&amp;CONTROL[[#This Row],[VEHIDCODE]]</f>
        <v>str_dmu_UAC_Turbo_Train</v>
      </c>
      <c r="Q460" s="8" t="b">
        <f>_xlfn.XLOOKUP(CONTROL[[#This Row],[VEHIDCODE]],PROPERTIES[VEHIDCODE],PROPERTIES[IS_CONCEPT])="IS_CONCEPT"</f>
        <v>0</v>
      </c>
      <c r="R460" s="8" t="b">
        <f>_xlfn.XLOOKUP(CONTROL[[#This Row],[VEHIDCODE]],PROPERTIES[VEHIDCODE],PROPERTIES[EXCLUDE])</f>
        <v>0</v>
      </c>
    </row>
    <row r="461" spans="1:18">
      <c r="A461" s="2" t="s">
        <v>3174</v>
      </c>
      <c r="B461" s="26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7" t="s">
        <v>3610</v>
      </c>
      <c r="G461" t="s">
        <v>3609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6" t="str">
        <f>"item_"&amp;CONTROL[[#This Row],[VEHIDCODE]]</f>
        <v>item_dmu_JZ_811</v>
      </c>
      <c r="P461" s="26" t="str">
        <f>"str_"&amp;CONTROL[[#This Row],[VEHIDCODE]]</f>
        <v>str_dmu_JZ_811</v>
      </c>
      <c r="Q461" s="8" t="b">
        <f>_xlfn.XLOOKUP(CONTROL[[#This Row],[VEHIDCODE]],PROPERTIES[VEHIDCODE],PROPERTIES[IS_CONCEPT])="IS_CONCEPT"</f>
        <v>0</v>
      </c>
      <c r="R461" s="8" t="b">
        <f>_xlfn.XLOOKUP(CONTROL[[#This Row],[VEHIDCODE]],PROPERTIES[VEHIDCODE],PROPERTIES[EXCLUDE])</f>
        <v>0</v>
      </c>
    </row>
    <row r="462" spans="1:18">
      <c r="A462" s="2" t="s">
        <v>3175</v>
      </c>
      <c r="B462" s="26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7" t="s">
        <v>2379</v>
      </c>
      <c r="G462" t="s">
        <v>1522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6" t="str">
        <f>"item_"&amp;CONTROL[[#This Row],[VEHIDCODE]]</f>
        <v>item_dmu_BREL_43_IC125</v>
      </c>
      <c r="P462" s="26" t="str">
        <f>"str_"&amp;CONTROL[[#This Row],[VEHIDCODE]]</f>
        <v>str_dmu_BREL_43_IC125</v>
      </c>
      <c r="Q462" s="8" t="b">
        <f>_xlfn.XLOOKUP(CONTROL[[#This Row],[VEHIDCODE]],PROPERTIES[VEHIDCODE],PROPERTIES[IS_CONCEPT])="IS_CONCEPT"</f>
        <v>0</v>
      </c>
      <c r="R462" s="8" t="b">
        <f>_xlfn.XLOOKUP(CONTROL[[#This Row],[VEHIDCODE]],PROPERTIES[VEHIDCODE],PROPERTIES[EXCLUDE])</f>
        <v>0</v>
      </c>
    </row>
    <row r="463" spans="1:18">
      <c r="A463" s="2" t="s">
        <v>3176</v>
      </c>
      <c r="B463" s="26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7" t="s">
        <v>2380</v>
      </c>
      <c r="G463" t="s">
        <v>1523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6" t="str">
        <f>"item_"&amp;CONTROL[[#This Row],[VEHIDCODE]]</f>
        <v>item_dmu_Bombardier_M6109</v>
      </c>
      <c r="P463" s="26" t="str">
        <f>"str_"&amp;CONTROL[[#This Row],[VEHIDCODE]]</f>
        <v>str_dmu_Bombardier_M6109</v>
      </c>
      <c r="Q463" s="8" t="b">
        <f>_xlfn.XLOOKUP(CONTROL[[#This Row],[VEHIDCODE]],PROPERTIES[VEHIDCODE],PROPERTIES[IS_CONCEPT])="IS_CONCEPT"</f>
        <v>0</v>
      </c>
      <c r="R463" s="8" t="b">
        <f>_xlfn.XLOOKUP(CONTROL[[#This Row],[VEHIDCODE]],PROPERTIES[VEHIDCODE],PROPERTIES[EXCLUDE])</f>
        <v>0</v>
      </c>
    </row>
    <row r="464" spans="1:18">
      <c r="A464" s="2" t="s">
        <v>3177</v>
      </c>
      <c r="B464" s="26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7" t="s">
        <v>2381</v>
      </c>
      <c r="G464" t="s">
        <v>1524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6" t="str">
        <f>"item_"&amp;CONTROL[[#This Row],[VEHIDCODE]]</f>
        <v>item_dmu_ABB_IC3_Y2</v>
      </c>
      <c r="P464" s="26" t="str">
        <f>"str_"&amp;CONTROL[[#This Row],[VEHIDCODE]]</f>
        <v>str_dmu_ABB_IC3_Y2</v>
      </c>
      <c r="Q464" s="8" t="b">
        <f>_xlfn.XLOOKUP(CONTROL[[#This Row],[VEHIDCODE]],PROPERTIES[VEHIDCODE],PROPERTIES[IS_CONCEPT])="IS_CONCEPT"</f>
        <v>0</v>
      </c>
      <c r="R464" s="8" t="b">
        <f>_xlfn.XLOOKUP(CONTROL[[#This Row],[VEHIDCODE]],PROPERTIES[VEHIDCODE],PROPERTIES[EXCLUDE])</f>
        <v>0</v>
      </c>
    </row>
    <row r="465" spans="1:18">
      <c r="A465" s="2" t="s">
        <v>3178</v>
      </c>
      <c r="B465" s="26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7" t="s">
        <v>2382</v>
      </c>
      <c r="G465" t="s">
        <v>1525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6" t="str">
        <f>"item_"&amp;CONTROL[[#This Row],[VEHIDCODE]]</f>
        <v>item_dmu_CAF_594_TRD</v>
      </c>
      <c r="P465" s="26" t="str">
        <f>"str_"&amp;CONTROL[[#This Row],[VEHIDCODE]]</f>
        <v>str_dmu_CAF_594_TRD</v>
      </c>
      <c r="Q465" s="8" t="b">
        <f>_xlfn.XLOOKUP(CONTROL[[#This Row],[VEHIDCODE]],PROPERTIES[VEHIDCODE],PROPERTIES[IS_CONCEPT])="IS_CONCEPT"</f>
        <v>0</v>
      </c>
      <c r="R465" s="8" t="b">
        <f>_xlfn.XLOOKUP(CONTROL[[#This Row],[VEHIDCODE]],PROPERTIES[VEHIDCODE],PROPERTIES[EXCLUDE])</f>
        <v>0</v>
      </c>
    </row>
    <row r="466" spans="1:18">
      <c r="A466" s="2" t="s">
        <v>3179</v>
      </c>
      <c r="B466" s="26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7" t="s">
        <v>2383</v>
      </c>
      <c r="G466" t="s">
        <v>1526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6" t="str">
        <f>"item_"&amp;CONTROL[[#This Row],[VEHIDCODE]]</f>
        <v>item_dmu_Adtranz_Class_168_Clubman</v>
      </c>
      <c r="P466" s="26" t="str">
        <f>"str_"&amp;CONTROL[[#This Row],[VEHIDCODE]]</f>
        <v>str_dmu_Adtranz_Class_168_Clubman</v>
      </c>
      <c r="Q466" s="8" t="b">
        <f>_xlfn.XLOOKUP(CONTROL[[#This Row],[VEHIDCODE]],PROPERTIES[VEHIDCODE],PROPERTIES[IS_CONCEPT])="IS_CONCEPT"</f>
        <v>0</v>
      </c>
      <c r="R466" s="8" t="b">
        <f>_xlfn.XLOOKUP(CONTROL[[#This Row],[VEHIDCODE]],PROPERTIES[VEHIDCODE],PROPERTIES[EXCLUDE])</f>
        <v>0</v>
      </c>
    </row>
    <row r="467" spans="1:18">
      <c r="A467" s="2" t="s">
        <v>3180</v>
      </c>
      <c r="B467" s="26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7" t="s">
        <v>2384</v>
      </c>
      <c r="G467" t="s">
        <v>1527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6" t="str">
        <f>"item_"&amp;CONTROL[[#This Row],[VEHIDCODE]]</f>
        <v>item_dmu_Adtranz_Class_612_Regio_Swinger</v>
      </c>
      <c r="P467" s="26" t="str">
        <f>"str_"&amp;CONTROL[[#This Row],[VEHIDCODE]]</f>
        <v>str_dmu_Adtranz_Class_612_Regio_Swinger</v>
      </c>
      <c r="Q467" s="8" t="b">
        <f>_xlfn.XLOOKUP(CONTROL[[#This Row],[VEHIDCODE]],PROPERTIES[VEHIDCODE],PROPERTIES[IS_CONCEPT])="IS_CONCEPT"</f>
        <v>0</v>
      </c>
      <c r="R467" s="8" t="b">
        <f>_xlfn.XLOOKUP(CONTROL[[#This Row],[VEHIDCODE]],PROPERTIES[VEHIDCODE],PROPERTIES[EXCLUDE])</f>
        <v>0</v>
      </c>
    </row>
    <row r="468" spans="1:18">
      <c r="A468" s="2" t="s">
        <v>3181</v>
      </c>
      <c r="B468" s="26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7" t="s">
        <v>2097</v>
      </c>
      <c r="G468" t="s">
        <v>1528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6" t="str">
        <f>"item_"&amp;CONTROL[[#This Row],[VEHIDCODE]]</f>
        <v>item_dmu_Siemens_Desiro</v>
      </c>
      <c r="P468" s="26" t="str">
        <f>"str_"&amp;CONTROL[[#This Row],[VEHIDCODE]]</f>
        <v>str_dmu_Siemens_Desiro</v>
      </c>
      <c r="Q468" s="8" t="b">
        <f>_xlfn.XLOOKUP(CONTROL[[#This Row],[VEHIDCODE]],PROPERTIES[VEHIDCODE],PROPERTIES[IS_CONCEPT])="IS_CONCEPT"</f>
        <v>0</v>
      </c>
      <c r="R468" s="8" t="b">
        <f>_xlfn.XLOOKUP(CONTROL[[#This Row],[VEHIDCODE]],PROPERTIES[VEHIDCODE],PROPERTIES[EXCLUDE])</f>
        <v>0</v>
      </c>
    </row>
    <row r="469" spans="1:18">
      <c r="A469" s="2" t="s">
        <v>3182</v>
      </c>
      <c r="B469" s="26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7" t="s">
        <v>2385</v>
      </c>
      <c r="G469" t="s">
        <v>1529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6" t="str">
        <f>"item_"&amp;CONTROL[[#This Row],[VEHIDCODE]]</f>
        <v>item_dmu_Alstom_Coradia_LINT</v>
      </c>
      <c r="P469" s="26" t="str">
        <f>"str_"&amp;CONTROL[[#This Row],[VEHIDCODE]]</f>
        <v>str_dmu_Alstom_Coradia_LINT</v>
      </c>
      <c r="Q469" s="8" t="b">
        <f>_xlfn.XLOOKUP(CONTROL[[#This Row],[VEHIDCODE]],PROPERTIES[VEHIDCODE],PROPERTIES[IS_CONCEPT])="IS_CONCEPT"</f>
        <v>0</v>
      </c>
      <c r="R469" s="8" t="b">
        <f>_xlfn.XLOOKUP(CONTROL[[#This Row],[VEHIDCODE]],PROPERTIES[VEHIDCODE],PROPERTIES[EXCLUDE])</f>
        <v>0</v>
      </c>
    </row>
    <row r="470" spans="1:18">
      <c r="A470" s="2" t="s">
        <v>3183</v>
      </c>
      <c r="B470" s="26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7" t="s">
        <v>2386</v>
      </c>
      <c r="G470" t="s">
        <v>1530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6" t="str">
        <f>"item_"&amp;CONTROL[[#This Row],[VEHIDCODE]]</f>
        <v>item_dmu_Bombardier_Talent_NSB_BM_93</v>
      </c>
      <c r="P470" s="26" t="str">
        <f>"str_"&amp;CONTROL[[#This Row],[VEHIDCODE]]</f>
        <v>str_dmu_Bombardier_Talent_NSB_BM_93</v>
      </c>
      <c r="Q470" s="8" t="b">
        <f>_xlfn.XLOOKUP(CONTROL[[#This Row],[VEHIDCODE]],PROPERTIES[VEHIDCODE],PROPERTIES[IS_CONCEPT])="IS_CONCEPT"</f>
        <v>0</v>
      </c>
      <c r="R470" s="8" t="b">
        <f>_xlfn.XLOOKUP(CONTROL[[#This Row],[VEHIDCODE]],PROPERTIES[VEHIDCODE],PROPERTIES[EXCLUDE])</f>
        <v>0</v>
      </c>
    </row>
    <row r="471" spans="1:18">
      <c r="A471" s="2" t="s">
        <v>3184</v>
      </c>
      <c r="B471" s="26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7" t="s">
        <v>2387</v>
      </c>
      <c r="G471" t="s">
        <v>1531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6" t="str">
        <f>"item_"&amp;CONTROL[[#This Row],[VEHIDCODE]]</f>
        <v>item_dmu_UGL_WD_Prospector</v>
      </c>
      <c r="P471" s="26" t="str">
        <f>"str_"&amp;CONTROL[[#This Row],[VEHIDCODE]]</f>
        <v>str_dmu_UGL_WD_Prospector</v>
      </c>
      <c r="Q471" s="8" t="b">
        <f>_xlfn.XLOOKUP(CONTROL[[#This Row],[VEHIDCODE]],PROPERTIES[VEHIDCODE],PROPERTIES[IS_CONCEPT])="IS_CONCEPT"</f>
        <v>0</v>
      </c>
      <c r="R471" s="8" t="b">
        <f>_xlfn.XLOOKUP(CONTROL[[#This Row],[VEHIDCODE]],PROPERTIES[VEHIDCODE],PROPERTIES[EXCLUDE])</f>
        <v>0</v>
      </c>
    </row>
    <row r="472" spans="1:18">
      <c r="A472" s="2" t="s">
        <v>3185</v>
      </c>
      <c r="B472" s="26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7" t="s">
        <v>2388</v>
      </c>
      <c r="G472" t="s">
        <v>1532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6" t="str">
        <f>"item_"&amp;CONTROL[[#This Row],[VEHIDCODE]]</f>
        <v>item_dmu_UGL_Hunter_Railcar</v>
      </c>
      <c r="P472" s="26" t="str">
        <f>"str_"&amp;CONTROL[[#This Row],[VEHIDCODE]]</f>
        <v>str_dmu_UGL_Hunter_Railcar</v>
      </c>
      <c r="Q472" s="8" t="b">
        <f>_xlfn.XLOOKUP(CONTROL[[#This Row],[VEHIDCODE]],PROPERTIES[VEHIDCODE],PROPERTIES[IS_CONCEPT])="IS_CONCEPT"</f>
        <v>0</v>
      </c>
      <c r="R472" s="8" t="b">
        <f>_xlfn.XLOOKUP(CONTROL[[#This Row],[VEHIDCODE]],PROPERTIES[VEHIDCODE],PROPERTIES[EXCLUDE])</f>
        <v>0</v>
      </c>
    </row>
    <row r="473" spans="1:18">
      <c r="A473" s="2" t="s">
        <v>3186</v>
      </c>
      <c r="B473" s="26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7" t="s">
        <v>2098</v>
      </c>
      <c r="G473" t="s">
        <v>1533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6" t="str">
        <f>"item_"&amp;CONTROL[[#This Row],[VEHIDCODE]]</f>
        <v>item_dmu_MVM_RA2</v>
      </c>
      <c r="P473" s="26" t="str">
        <f>"str_"&amp;CONTROL[[#This Row],[VEHIDCODE]]</f>
        <v>str_dmu_MVM_RA2</v>
      </c>
      <c r="Q473" s="8" t="b">
        <f>_xlfn.XLOOKUP(CONTROL[[#This Row],[VEHIDCODE]],PROPERTIES[VEHIDCODE],PROPERTIES[IS_CONCEPT])="IS_CONCEPT"</f>
        <v>0</v>
      </c>
      <c r="R473" s="8" t="b">
        <f>_xlfn.XLOOKUP(CONTROL[[#This Row],[VEHIDCODE]],PROPERTIES[VEHIDCODE],PROPERTIES[EXCLUDE])</f>
        <v>0</v>
      </c>
    </row>
    <row r="474" spans="1:18">
      <c r="A474" s="2" t="s">
        <v>3187</v>
      </c>
      <c r="B474" s="26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7" t="s">
        <v>2389</v>
      </c>
      <c r="G474" t="s">
        <v>1534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6" t="str">
        <f>"item_"&amp;CONTROL[[#This Row],[VEHIDCODE]]</f>
        <v>item_dmu_AnsaldoBreda_IC4</v>
      </c>
      <c r="P474" s="26" t="str">
        <f>"str_"&amp;CONTROL[[#This Row],[VEHIDCODE]]</f>
        <v>str_dmu_AnsaldoBreda_IC4</v>
      </c>
      <c r="Q474" s="8" t="b">
        <f>_xlfn.XLOOKUP(CONTROL[[#This Row],[VEHIDCODE]],PROPERTIES[VEHIDCODE],PROPERTIES[IS_CONCEPT])="IS_CONCEPT"</f>
        <v>0</v>
      </c>
      <c r="R474" s="8" t="b">
        <f>_xlfn.XLOOKUP(CONTROL[[#This Row],[VEHIDCODE]],PROPERTIES[VEHIDCODE],PROPERTIES[EXCLUDE])</f>
        <v>0</v>
      </c>
    </row>
    <row r="475" spans="1:18">
      <c r="A475" s="2" t="s">
        <v>3188</v>
      </c>
      <c r="B475" s="26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7" t="s">
        <v>2390</v>
      </c>
      <c r="G475" t="s">
        <v>1535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6" t="str">
        <f>"item_"&amp;CONTROL[[#This Row],[VEHIDCODE]]</f>
        <v>item_dmu_TZV_Gredelj_7022</v>
      </c>
      <c r="P475" s="26" t="str">
        <f>"str_"&amp;CONTROL[[#This Row],[VEHIDCODE]]</f>
        <v>str_dmu_TZV_Gredelj_7022</v>
      </c>
      <c r="Q475" s="8" t="b">
        <f>_xlfn.XLOOKUP(CONTROL[[#This Row],[VEHIDCODE]],PROPERTIES[VEHIDCODE],PROPERTIES[IS_CONCEPT])="IS_CONCEPT"</f>
        <v>0</v>
      </c>
      <c r="R475" s="8" t="b">
        <f>_xlfn.XLOOKUP(CONTROL[[#This Row],[VEHIDCODE]],PROPERTIES[VEHIDCODE],PROPERTIES[EXCLUDE])</f>
        <v>0</v>
      </c>
    </row>
    <row r="476" spans="1:18">
      <c r="A476" s="2" t="s">
        <v>3189</v>
      </c>
      <c r="B476" s="26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7" t="s">
        <v>2391</v>
      </c>
      <c r="G476" t="s">
        <v>1536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6" t="str">
        <f>"item_"&amp;CONTROL[[#This Row],[VEHIDCODE]]</f>
        <v>item_dmu_Fiat_TCDD_MT_5500</v>
      </c>
      <c r="P476" s="26" t="str">
        <f>"str_"&amp;CONTROL[[#This Row],[VEHIDCODE]]</f>
        <v>str_dmu_Fiat_TCDD_MT_5500</v>
      </c>
      <c r="Q476" s="8" t="b">
        <f>_xlfn.XLOOKUP(CONTROL[[#This Row],[VEHIDCODE]],PROPERTIES[VEHIDCODE],PROPERTIES[IS_CONCEPT])="IS_CONCEPT"</f>
        <v>0</v>
      </c>
      <c r="R476" s="8" t="b">
        <f>_xlfn.XLOOKUP(CONTROL[[#This Row],[VEHIDCODE]],PROPERTIES[VEHIDCODE],PROPERTIES[EXCLUDE])</f>
        <v>0</v>
      </c>
    </row>
    <row r="477" spans="1:18">
      <c r="A477" s="2" t="s">
        <v>3190</v>
      </c>
      <c r="B477" s="26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7" t="s">
        <v>2393</v>
      </c>
      <c r="G477" t="s">
        <v>2392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6" t="str">
        <f>"item_"&amp;CONTROL[[#This Row],[VEHIDCODE]]</f>
        <v>item_dmu_Fuji_KiHa_181</v>
      </c>
      <c r="P477" s="26" t="str">
        <f>"str_"&amp;CONTROL[[#This Row],[VEHIDCODE]]</f>
        <v>str_dmu_Fuji_KiHa_181</v>
      </c>
      <c r="Q477" s="8" t="b">
        <f>_xlfn.XLOOKUP(CONTROL[[#This Row],[VEHIDCODE]],PROPERTIES[VEHIDCODE],PROPERTIES[IS_CONCEPT])="IS_CONCEPT"</f>
        <v>0</v>
      </c>
      <c r="R477" s="8" t="b">
        <f>_xlfn.XLOOKUP(CONTROL[[#This Row],[VEHIDCODE]],PROPERTIES[VEHIDCODE],PROPERTIES[EXCLUDE])</f>
        <v>0</v>
      </c>
    </row>
    <row r="478" spans="1:18">
      <c r="A478" s="2" t="s">
        <v>3191</v>
      </c>
      <c r="B478" s="26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7" t="s">
        <v>2394</v>
      </c>
      <c r="G478" t="s">
        <v>1537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6" t="str">
        <f>"item_"&amp;CONTROL[[#This Row],[VEHIDCODE]]</f>
        <v>item_dmu_Vagonka_Studenka_814</v>
      </c>
      <c r="P478" s="26" t="str">
        <f>"str_"&amp;CONTROL[[#This Row],[VEHIDCODE]]</f>
        <v>str_dmu_Vagonka_Studenka_814</v>
      </c>
      <c r="Q478" s="8" t="b">
        <f>_xlfn.XLOOKUP(CONTROL[[#This Row],[VEHIDCODE]],PROPERTIES[VEHIDCODE],PROPERTIES[IS_CONCEPT])="IS_CONCEPT"</f>
        <v>0</v>
      </c>
      <c r="R478" s="8" t="b">
        <f>_xlfn.XLOOKUP(CONTROL[[#This Row],[VEHIDCODE]],PROPERTIES[VEHIDCODE],PROPERTIES[EXCLUDE])</f>
        <v>0</v>
      </c>
    </row>
    <row r="479" spans="1:18">
      <c r="A479" s="2" t="s">
        <v>3192</v>
      </c>
      <c r="B479" s="26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7" t="s">
        <v>409</v>
      </c>
      <c r="G479" t="s">
        <v>1538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6" t="str">
        <f>"item_"&amp;CONTROL[[#This Row],[VEHIDCODE]]</f>
        <v>item_dmu_BR_150_0_Sprinter</v>
      </c>
      <c r="P479" s="26" t="str">
        <f>"str_"&amp;CONTROL[[#This Row],[VEHIDCODE]]</f>
        <v>str_dmu_BR_150_0_Sprinter</v>
      </c>
      <c r="Q479" s="8" t="b">
        <f>_xlfn.XLOOKUP(CONTROL[[#This Row],[VEHIDCODE]],PROPERTIES[VEHIDCODE],PROPERTIES[IS_CONCEPT])="IS_CONCEPT"</f>
        <v>0</v>
      </c>
      <c r="R479" s="8" t="b">
        <f>_xlfn.XLOOKUP(CONTROL[[#This Row],[VEHIDCODE]],PROPERTIES[VEHIDCODE],PROPERTIES[EXCLUDE])</f>
        <v>0</v>
      </c>
    </row>
    <row r="480" spans="1:18">
      <c r="A480" s="2" t="s">
        <v>3193</v>
      </c>
      <c r="B480" s="26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7" t="s">
        <v>2395</v>
      </c>
      <c r="G480" t="s">
        <v>1539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6" t="str">
        <f>"item_"&amp;CONTROL[[#This Row],[VEHIDCODE]]</f>
        <v>item_dmu_BREL_141_Pacer</v>
      </c>
      <c r="P480" s="26" t="str">
        <f>"str_"&amp;CONTROL[[#This Row],[VEHIDCODE]]</f>
        <v>str_dmu_BREL_141_Pacer</v>
      </c>
      <c r="Q480" s="8" t="b">
        <f>_xlfn.XLOOKUP(CONTROL[[#This Row],[VEHIDCODE]],PROPERTIES[VEHIDCODE],PROPERTIES[IS_CONCEPT])="IS_CONCEPT"</f>
        <v>0</v>
      </c>
      <c r="R480" s="8" t="b">
        <f>_xlfn.XLOOKUP(CONTROL[[#This Row],[VEHIDCODE]],PROPERTIES[VEHIDCODE],PROPERTIES[EXCLUDE])</f>
        <v>0</v>
      </c>
    </row>
    <row r="481" spans="1:18">
      <c r="A481" s="2" t="s">
        <v>3194</v>
      </c>
      <c r="B481" s="26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7" t="s">
        <v>2396</v>
      </c>
      <c r="G481" t="s">
        <v>1540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6" t="str">
        <f>"item_"&amp;CONTROL[[#This Row],[VEHIDCODE]]</f>
        <v>item_dmu_ABB_IC3__Israel_</v>
      </c>
      <c r="P481" s="26" t="str">
        <f>"str_"&amp;CONTROL[[#This Row],[VEHIDCODE]]</f>
        <v>str_dmu_ABB_IC3__Israel_</v>
      </c>
      <c r="Q481" s="8" t="b">
        <f>_xlfn.XLOOKUP(CONTROL[[#This Row],[VEHIDCODE]],PROPERTIES[VEHIDCODE],PROPERTIES[IS_CONCEPT])="IS_CONCEPT"</f>
        <v>0</v>
      </c>
      <c r="R481" s="8" t="b">
        <f>_xlfn.XLOOKUP(CONTROL[[#This Row],[VEHIDCODE]],PROPERTIES[VEHIDCODE],PROPERTIES[EXCLUDE])</f>
        <v>0</v>
      </c>
    </row>
    <row r="482" spans="1:18">
      <c r="A482" s="2" t="s">
        <v>3195</v>
      </c>
      <c r="B482" s="26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7" t="s">
        <v>2397</v>
      </c>
      <c r="G482" t="s">
        <v>1541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6" t="str">
        <f>"item_"&amp;CONTROL[[#This Row],[VEHIDCODE]]</f>
        <v>item_dmu_Comeng_3100</v>
      </c>
      <c r="P482" s="26" t="str">
        <f>"str_"&amp;CONTROL[[#This Row],[VEHIDCODE]]</f>
        <v>str_dmu_Comeng_3100</v>
      </c>
      <c r="Q482" s="8" t="b">
        <f>_xlfn.XLOOKUP(CONTROL[[#This Row],[VEHIDCODE]],PROPERTIES[VEHIDCODE],PROPERTIES[IS_CONCEPT])="IS_CONCEPT"</f>
        <v>0</v>
      </c>
      <c r="R482" s="8" t="b">
        <f>_xlfn.XLOOKUP(CONTROL[[#This Row],[VEHIDCODE]],PROPERTIES[VEHIDCODE],PROPERTIES[EXCLUDE])</f>
        <v>0</v>
      </c>
    </row>
    <row r="483" spans="1:18">
      <c r="A483" s="2" t="s">
        <v>3196</v>
      </c>
      <c r="B483" s="26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7" t="s">
        <v>2398</v>
      </c>
      <c r="G483" t="s">
        <v>1542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6" t="str">
        <f>"item_"&amp;CONTROL[[#This Row],[VEHIDCODE]]</f>
        <v>item_dmu_ABB_Xplorer</v>
      </c>
      <c r="P483" s="26" t="str">
        <f>"str_"&amp;CONTROL[[#This Row],[VEHIDCODE]]</f>
        <v>str_dmu_ABB_Xplorer</v>
      </c>
      <c r="Q483" s="8" t="b">
        <f>_xlfn.XLOOKUP(CONTROL[[#This Row],[VEHIDCODE]],PROPERTIES[VEHIDCODE],PROPERTIES[IS_CONCEPT])="IS_CONCEPT"</f>
        <v>0</v>
      </c>
      <c r="R483" s="8" t="b">
        <f>_xlfn.XLOOKUP(CONTROL[[#This Row],[VEHIDCODE]],PROPERTIES[VEHIDCODE],PROPERTIES[EXCLUDE])</f>
        <v>0</v>
      </c>
    </row>
    <row r="484" spans="1:18">
      <c r="A484" s="2" t="s">
        <v>3197</v>
      </c>
      <c r="B484" s="26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7" t="s">
        <v>2399</v>
      </c>
      <c r="G484" t="s">
        <v>1543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6" t="str">
        <f>"item_"&amp;CONTROL[[#This Row],[VEHIDCODE]]</f>
        <v>item_dmu_Niigata_Transys_KiHa_189</v>
      </c>
      <c r="P484" s="26" t="str">
        <f>"str_"&amp;CONTROL[[#This Row],[VEHIDCODE]]</f>
        <v>str_dmu_Niigata_Transys_KiHa_189</v>
      </c>
      <c r="Q484" s="8" t="b">
        <f>_xlfn.XLOOKUP(CONTROL[[#This Row],[VEHIDCODE]],PROPERTIES[VEHIDCODE],PROPERTIES[IS_CONCEPT])="IS_CONCEPT"</f>
        <v>0</v>
      </c>
      <c r="R484" s="8" t="b">
        <f>_xlfn.XLOOKUP(CONTROL[[#This Row],[VEHIDCODE]],PROPERTIES[VEHIDCODE],PROPERTIES[EXCLUDE])</f>
        <v>0</v>
      </c>
    </row>
    <row r="485" spans="1:18">
      <c r="A485" s="2" t="s">
        <v>3198</v>
      </c>
      <c r="B485" s="26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7" t="s">
        <v>2400</v>
      </c>
      <c r="G485" t="s">
        <v>1544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6" t="str">
        <f>"item_"&amp;CONTROL[[#This Row],[VEHIDCODE]]</f>
        <v>item_dmu_Integral_Coach_Factory_S11</v>
      </c>
      <c r="P485" s="26" t="str">
        <f>"str_"&amp;CONTROL[[#This Row],[VEHIDCODE]]</f>
        <v>str_dmu_Integral_Coach_Factory_S11</v>
      </c>
      <c r="Q485" s="8" t="b">
        <f>_xlfn.XLOOKUP(CONTROL[[#This Row],[VEHIDCODE]],PROPERTIES[VEHIDCODE],PROPERTIES[IS_CONCEPT])="IS_CONCEPT"</f>
        <v>0</v>
      </c>
      <c r="R485" s="8" t="b">
        <f>_xlfn.XLOOKUP(CONTROL[[#This Row],[VEHIDCODE]],PROPERTIES[VEHIDCODE],PROPERTIES[EXCLUDE])</f>
        <v>0</v>
      </c>
    </row>
    <row r="486" spans="1:18">
      <c r="A486" s="2" t="s">
        <v>3199</v>
      </c>
      <c r="B486" s="26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7" t="s">
        <v>2401</v>
      </c>
      <c r="G486" t="s">
        <v>1545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6" t="str">
        <f>"item_"&amp;CONTROL[[#This Row],[VEHIDCODE]]</f>
        <v>item_dmu_ZOS_Vrutky_861</v>
      </c>
      <c r="P486" s="26" t="str">
        <f>"str_"&amp;CONTROL[[#This Row],[VEHIDCODE]]</f>
        <v>str_dmu_ZOS_Vrutky_861</v>
      </c>
      <c r="Q486" s="8" t="b">
        <f>_xlfn.XLOOKUP(CONTROL[[#This Row],[VEHIDCODE]],PROPERTIES[VEHIDCODE],PROPERTIES[IS_CONCEPT])="IS_CONCEPT"</f>
        <v>0</v>
      </c>
      <c r="R486" s="8" t="b">
        <f>_xlfn.XLOOKUP(CONTROL[[#This Row],[VEHIDCODE]],PROPERTIES[VEHIDCODE],PROPERTIES[EXCLUDE])</f>
        <v>0</v>
      </c>
    </row>
    <row r="487" spans="1:18">
      <c r="A487" s="2" t="s">
        <v>3200</v>
      </c>
      <c r="B487" s="26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7" t="s">
        <v>2402</v>
      </c>
      <c r="G487" t="s">
        <v>1546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6" t="str">
        <f>"item_"&amp;CONTROL[[#This Row],[VEHIDCODE]]</f>
        <v>item_dmu_CAF_TLD_500</v>
      </c>
      <c r="P487" s="26" t="str">
        <f>"str_"&amp;CONTROL[[#This Row],[VEHIDCODE]]</f>
        <v>str_dmu_CAF_TLD_500</v>
      </c>
      <c r="Q487" s="8" t="b">
        <f>_xlfn.XLOOKUP(CONTROL[[#This Row],[VEHIDCODE]],PROPERTIES[VEHIDCODE],PROPERTIES[IS_CONCEPT])="IS_CONCEPT"</f>
        <v>0</v>
      </c>
      <c r="R487" s="8" t="b">
        <f>_xlfn.XLOOKUP(CONTROL[[#This Row],[VEHIDCODE]],PROPERTIES[VEHIDCODE],PROPERTIES[EXCLUDE])</f>
        <v>0</v>
      </c>
    </row>
    <row r="488" spans="1:18">
      <c r="A488" s="2" t="s">
        <v>3201</v>
      </c>
      <c r="B488" s="26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7" t="s">
        <v>410</v>
      </c>
      <c r="G488" t="s">
        <v>1547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6" t="str">
        <f>"item_"&amp;CONTROL[[#This Row],[VEHIDCODE]]</f>
        <v>item_dmu_Camrail_ZE_500</v>
      </c>
      <c r="P488" s="26" t="str">
        <f>"str_"&amp;CONTROL[[#This Row],[VEHIDCODE]]</f>
        <v>str_dmu_Camrail_ZE_500</v>
      </c>
      <c r="Q488" s="8" t="b">
        <f>_xlfn.XLOOKUP(CONTROL[[#This Row],[VEHIDCODE]],PROPERTIES[VEHIDCODE],PROPERTIES[IS_CONCEPT])="IS_CONCEPT"</f>
        <v>0</v>
      </c>
      <c r="R488" s="8" t="b">
        <f>_xlfn.XLOOKUP(CONTROL[[#This Row],[VEHIDCODE]],PROPERTIES[VEHIDCODE],PROPERTIES[EXCLUDE])</f>
        <v>0</v>
      </c>
    </row>
    <row r="489" spans="1:18">
      <c r="A489" s="2" t="s">
        <v>3202</v>
      </c>
      <c r="B489" s="26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7" t="s">
        <v>2403</v>
      </c>
      <c r="G489" t="s">
        <v>1548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6" t="str">
        <f>"item_"&amp;CONTROL[[#This Row],[VEHIDCODE]]</f>
        <v>item_dmu_Metro_Cammell_251_Blue_Pullman</v>
      </c>
      <c r="P489" s="26" t="str">
        <f>"str_"&amp;CONTROL[[#This Row],[VEHIDCODE]]</f>
        <v>str_dmu_Metro_Cammell_251_Blue_Pullman</v>
      </c>
      <c r="Q489" s="8" t="b">
        <f>_xlfn.XLOOKUP(CONTROL[[#This Row],[VEHIDCODE]],PROPERTIES[VEHIDCODE],PROPERTIES[IS_CONCEPT])="IS_CONCEPT"</f>
        <v>0</v>
      </c>
      <c r="R489" s="8" t="b">
        <f>_xlfn.XLOOKUP(CONTROL[[#This Row],[VEHIDCODE]],PROPERTIES[VEHIDCODE],PROPERTIES[EXCLUDE])</f>
        <v>0</v>
      </c>
    </row>
    <row r="490" spans="1:18">
      <c r="A490" s="2" t="s">
        <v>3203</v>
      </c>
      <c r="B490" s="26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7" t="s">
        <v>2404</v>
      </c>
      <c r="G490" t="s">
        <v>1549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6" t="str">
        <f>"item_"&amp;CONTROL[[#This Row],[VEHIDCODE]]</f>
        <v>item_dmu_Comeng_ADK</v>
      </c>
      <c r="P490" s="26" t="str">
        <f>"str_"&amp;CONTROL[[#This Row],[VEHIDCODE]]</f>
        <v>str_dmu_Comeng_ADK</v>
      </c>
      <c r="Q490" s="8" t="b">
        <f>_xlfn.XLOOKUP(CONTROL[[#This Row],[VEHIDCODE]],PROPERTIES[VEHIDCODE],PROPERTIES[IS_CONCEPT])="IS_CONCEPT"</f>
        <v>0</v>
      </c>
      <c r="R490" s="8" t="b">
        <f>_xlfn.XLOOKUP(CONTROL[[#This Row],[VEHIDCODE]],PROPERTIES[VEHIDCODE],PROPERTIES[EXCLUDE])</f>
        <v>0</v>
      </c>
    </row>
    <row r="491" spans="1:18">
      <c r="A491" s="2" t="s">
        <v>3204</v>
      </c>
      <c r="B491" s="26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7" t="s">
        <v>2405</v>
      </c>
      <c r="G491" t="s">
        <v>1550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6" t="str">
        <f>"item_"&amp;CONTROL[[#This Row],[VEHIDCODE]]</f>
        <v>item_dmu_ANF_X_4630</v>
      </c>
      <c r="P491" s="26" t="str">
        <f>"str_"&amp;CONTROL[[#This Row],[VEHIDCODE]]</f>
        <v>str_dmu_ANF_X_4630</v>
      </c>
      <c r="Q491" s="8" t="b">
        <f>_xlfn.XLOOKUP(CONTROL[[#This Row],[VEHIDCODE]],PROPERTIES[VEHIDCODE],PROPERTIES[IS_CONCEPT])="IS_CONCEPT"</f>
        <v>0</v>
      </c>
      <c r="R491" s="8" t="b">
        <f>_xlfn.XLOOKUP(CONTROL[[#This Row],[VEHIDCODE]],PROPERTIES[VEHIDCODE],PROPERTIES[EXCLUDE])</f>
        <v>0</v>
      </c>
    </row>
    <row r="492" spans="1:18">
      <c r="A492" s="2" t="s">
        <v>3205</v>
      </c>
      <c r="B492" s="26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7" t="s">
        <v>2406</v>
      </c>
      <c r="G492" t="s">
        <v>1551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6" t="str">
        <f>"item_"&amp;CONTROL[[#This Row],[VEHIDCODE]]</f>
        <v>item_dmu_ANF_T_2000</v>
      </c>
      <c r="P492" s="26" t="str">
        <f>"str_"&amp;CONTROL[[#This Row],[VEHIDCODE]]</f>
        <v>str_dmu_ANF_T_2000</v>
      </c>
      <c r="Q492" s="8" t="b">
        <f>_xlfn.XLOOKUP(CONTROL[[#This Row],[VEHIDCODE]],PROPERTIES[VEHIDCODE],PROPERTIES[IS_CONCEPT])="IS_CONCEPT"</f>
        <v>0</v>
      </c>
      <c r="R492" s="8" t="b">
        <f>_xlfn.XLOOKUP(CONTROL[[#This Row],[VEHIDCODE]],PROPERTIES[VEHIDCODE],PROPERTIES[EXCLUDE])</f>
        <v>0</v>
      </c>
    </row>
    <row r="493" spans="1:18">
      <c r="A493" s="2" t="s">
        <v>3206</v>
      </c>
      <c r="B493" s="26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7" t="s">
        <v>2407</v>
      </c>
      <c r="G493" t="s">
        <v>1552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6" t="str">
        <f>"item_"&amp;CONTROL[[#This Row],[VEHIDCODE]]</f>
        <v>item_dmu_Duwag_Wadloper</v>
      </c>
      <c r="P493" s="26" t="str">
        <f>"str_"&amp;CONTROL[[#This Row],[VEHIDCODE]]</f>
        <v>str_dmu_Duwag_Wadloper</v>
      </c>
      <c r="Q493" s="8" t="b">
        <f>_xlfn.XLOOKUP(CONTROL[[#This Row],[VEHIDCODE]],PROPERTIES[VEHIDCODE],PROPERTIES[IS_CONCEPT])="IS_CONCEPT"</f>
        <v>0</v>
      </c>
      <c r="R493" s="8" t="b">
        <f>_xlfn.XLOOKUP(CONTROL[[#This Row],[VEHIDCODE]],PROPERTIES[VEHIDCODE],PROPERTIES[EXCLUDE])</f>
        <v>0</v>
      </c>
    </row>
    <row r="494" spans="1:18">
      <c r="A494" s="2" t="s">
        <v>3207</v>
      </c>
      <c r="B494" s="26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7" t="s">
        <v>2408</v>
      </c>
      <c r="G494" t="s">
        <v>1553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6" t="str">
        <f>"item_"&amp;CONTROL[[#This Row],[VEHIDCODE]]</f>
        <v>item_dmu_Duwag_628_2</v>
      </c>
      <c r="P494" s="26" t="str">
        <f>"str_"&amp;CONTROL[[#This Row],[VEHIDCODE]]</f>
        <v>str_dmu_Duwag_628_2</v>
      </c>
      <c r="Q494" s="8" t="b">
        <f>_xlfn.XLOOKUP(CONTROL[[#This Row],[VEHIDCODE]],PROPERTIES[VEHIDCODE],PROPERTIES[IS_CONCEPT])="IS_CONCEPT"</f>
        <v>0</v>
      </c>
      <c r="R494" s="8" t="b">
        <f>_xlfn.XLOOKUP(CONTROL[[#This Row],[VEHIDCODE]],PROPERTIES[VEHIDCODE],PROPERTIES[EXCLUDE])</f>
        <v>0</v>
      </c>
    </row>
    <row r="495" spans="1:18">
      <c r="A495" s="2" t="s">
        <v>3208</v>
      </c>
      <c r="B495" s="26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7" t="s">
        <v>2409</v>
      </c>
      <c r="G495" t="s">
        <v>1345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6" t="str">
        <f>"item_"&amp;CONTROL[[#This Row],[VEHIDCODE]]</f>
        <v>item_dmu_CAF_ZZ_2200_Autorail</v>
      </c>
      <c r="P495" s="26" t="str">
        <f>"str_"&amp;CONTROL[[#This Row],[VEHIDCODE]]</f>
        <v>str_dmu_CAF_ZZ_2200_Autorail</v>
      </c>
      <c r="Q495" s="8" t="b">
        <f>_xlfn.XLOOKUP(CONTROL[[#This Row],[VEHIDCODE]],PROPERTIES[VEHIDCODE],PROPERTIES[IS_CONCEPT])="IS_CONCEPT"</f>
        <v>0</v>
      </c>
      <c r="R495" s="8" t="b">
        <f>_xlfn.XLOOKUP(CONTROL[[#This Row],[VEHIDCODE]],PROPERTIES[VEHIDCODE],PROPERTIES[EXCLUDE])</f>
        <v>0</v>
      </c>
    </row>
    <row r="496" spans="1:18">
      <c r="A496" s="2" t="s">
        <v>3209</v>
      </c>
      <c r="B496" s="26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7" t="s">
        <v>2410</v>
      </c>
      <c r="G496" t="s">
        <v>1554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6" t="str">
        <f>"item_"&amp;CONTROL[[#This Row],[VEHIDCODE]]</f>
        <v>item_dmu_CFD_AMT_800</v>
      </c>
      <c r="P496" s="26" t="str">
        <f>"str_"&amp;CONTROL[[#This Row],[VEHIDCODE]]</f>
        <v>str_dmu_CFD_AMT_800</v>
      </c>
      <c r="Q496" s="8" t="b">
        <f>_xlfn.XLOOKUP(CONTROL[[#This Row],[VEHIDCODE]],PROPERTIES[VEHIDCODE],PROPERTIES[IS_CONCEPT])="IS_CONCEPT"</f>
        <v>0</v>
      </c>
      <c r="R496" s="8" t="b">
        <f>_xlfn.XLOOKUP(CONTROL[[#This Row],[VEHIDCODE]],PROPERTIES[VEHIDCODE],PROPERTIES[EXCLUDE])</f>
        <v>0</v>
      </c>
    </row>
    <row r="497" spans="1:18">
      <c r="A497" s="2" t="s">
        <v>3210</v>
      </c>
      <c r="B497" s="26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7" t="s">
        <v>2411</v>
      </c>
      <c r="G497" t="s">
        <v>1555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6" t="str">
        <f>"item_"&amp;CONTROL[[#This Row],[VEHIDCODE]]</f>
        <v>item_dmu_CNR_Tangshan_Ghana_DEMU</v>
      </c>
      <c r="P497" s="26" t="str">
        <f>"str_"&amp;CONTROL[[#This Row],[VEHIDCODE]]</f>
        <v>str_dmu_CNR_Tangshan_Ghana_DEMU</v>
      </c>
      <c r="Q497" s="8" t="b">
        <f>_xlfn.XLOOKUP(CONTROL[[#This Row],[VEHIDCODE]],PROPERTIES[VEHIDCODE],PROPERTIES[IS_CONCEPT])="IS_CONCEPT"</f>
        <v>0</v>
      </c>
      <c r="R497" s="8" t="b">
        <f>_xlfn.XLOOKUP(CONTROL[[#This Row],[VEHIDCODE]],PROPERTIES[VEHIDCODE],PROPERTIES[EXCLUDE])</f>
        <v>0</v>
      </c>
    </row>
    <row r="498" spans="1:18">
      <c r="A498" s="2" t="s">
        <v>3211</v>
      </c>
      <c r="B498" s="26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7" t="s">
        <v>2412</v>
      </c>
      <c r="G498" t="s">
        <v>1556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6" t="str">
        <f>"item_"&amp;CONTROL[[#This Row],[VEHIDCODE]]</f>
        <v>item_dmu_Downer_EDI_Hitachi_Tilt_Train</v>
      </c>
      <c r="P498" s="26" t="str">
        <f>"str_"&amp;CONTROL[[#This Row],[VEHIDCODE]]</f>
        <v>str_dmu_Downer_EDI_Hitachi_Tilt_Train</v>
      </c>
      <c r="Q498" s="8" t="b">
        <f>_xlfn.XLOOKUP(CONTROL[[#This Row],[VEHIDCODE]],PROPERTIES[VEHIDCODE],PROPERTIES[IS_CONCEPT])="IS_CONCEPT"</f>
        <v>0</v>
      </c>
      <c r="R498" s="8" t="b">
        <f>_xlfn.XLOOKUP(CONTROL[[#This Row],[VEHIDCODE]],PROPERTIES[VEHIDCODE],PROPERTIES[EXCLUDE])</f>
        <v>0</v>
      </c>
    </row>
    <row r="499" spans="1:18">
      <c r="A499" s="2" t="s">
        <v>3212</v>
      </c>
      <c r="B499" s="26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7" t="s">
        <v>2099</v>
      </c>
      <c r="G499" t="s">
        <v>1557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6" t="str">
        <f>"item_"&amp;CONTROL[[#This Row],[VEHIDCODE]]</f>
        <v>item_dmu_Nippon_Sharyo_1000_Series</v>
      </c>
      <c r="P499" s="26" t="str">
        <f>"str_"&amp;CONTROL[[#This Row],[VEHIDCODE]]</f>
        <v>str_dmu_Nippon_Sharyo_1000_Series</v>
      </c>
      <c r="Q499" s="8" t="b">
        <f>_xlfn.XLOOKUP(CONTROL[[#This Row],[VEHIDCODE]],PROPERTIES[VEHIDCODE],PROPERTIES[IS_CONCEPT])="IS_CONCEPT"</f>
        <v>0</v>
      </c>
      <c r="R499" s="8" t="b">
        <f>_xlfn.XLOOKUP(CONTROL[[#This Row],[VEHIDCODE]],PROPERTIES[VEHIDCODE],PROPERTIES[EXCLUDE])</f>
        <v>0</v>
      </c>
    </row>
    <row r="500" spans="1:18">
      <c r="A500" s="2" t="s">
        <v>3213</v>
      </c>
      <c r="B500" s="26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7" t="s">
        <v>2413</v>
      </c>
      <c r="G500" t="s">
        <v>1558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6" t="str">
        <f>"item_"&amp;CONTROL[[#This Row],[VEHIDCODE]]</f>
        <v>item_dmu_Materfer_CMM_400_2</v>
      </c>
      <c r="P500" s="26" t="str">
        <f>"str_"&amp;CONTROL[[#This Row],[VEHIDCODE]]</f>
        <v>str_dmu_Materfer_CMM_400_2</v>
      </c>
      <c r="Q500" s="8" t="b">
        <f>_xlfn.XLOOKUP(CONTROL[[#This Row],[VEHIDCODE]],PROPERTIES[VEHIDCODE],PROPERTIES[IS_CONCEPT])="IS_CONCEPT"</f>
        <v>0</v>
      </c>
      <c r="R500" s="8" t="b">
        <f>_xlfn.XLOOKUP(CONTROL[[#This Row],[VEHIDCODE]],PROPERTIES[VEHIDCODE],PROPERTIES[EXCLUDE])</f>
        <v>0</v>
      </c>
    </row>
    <row r="501" spans="1:18">
      <c r="A501" s="2" t="s">
        <v>3214</v>
      </c>
      <c r="B501" s="26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7" t="s">
        <v>2414</v>
      </c>
      <c r="G501" t="s">
        <v>1559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6" t="str">
        <f>"item_"&amp;CONTROL[[#This Row],[VEHIDCODE]]</f>
        <v>item_dmu_Fiat_ALn_442_448</v>
      </c>
      <c r="P501" s="26" t="str">
        <f>"str_"&amp;CONTROL[[#This Row],[VEHIDCODE]]</f>
        <v>str_dmu_Fiat_ALn_442_448</v>
      </c>
      <c r="Q501" s="8" t="b">
        <f>_xlfn.XLOOKUP(CONTROL[[#This Row],[VEHIDCODE]],PROPERTIES[VEHIDCODE],PROPERTIES[IS_CONCEPT])="IS_CONCEPT"</f>
        <v>0</v>
      </c>
      <c r="R501" s="8" t="b">
        <f>_xlfn.XLOOKUP(CONTROL[[#This Row],[VEHIDCODE]],PROPERTIES[VEHIDCODE],PROPERTIES[EXCLUDE])</f>
        <v>0</v>
      </c>
    </row>
    <row r="502" spans="1:18">
      <c r="A502" s="2" t="s">
        <v>3215</v>
      </c>
      <c r="B502" s="26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7" t="s">
        <v>2416</v>
      </c>
      <c r="G502" t="s">
        <v>1560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6" t="str">
        <f>"item_"&amp;CONTROL[[#This Row],[VEHIDCODE]]</f>
        <v>item_dmu_Sorefame_CP_0400</v>
      </c>
      <c r="P502" s="26" t="str">
        <f>"str_"&amp;CONTROL[[#This Row],[VEHIDCODE]]</f>
        <v>str_dmu_Sorefame_CP_0400</v>
      </c>
      <c r="Q502" s="8" t="b">
        <f>_xlfn.XLOOKUP(CONTROL[[#This Row],[VEHIDCODE]],PROPERTIES[VEHIDCODE],PROPERTIES[IS_CONCEPT])="IS_CONCEPT"</f>
        <v>0</v>
      </c>
      <c r="R502" s="8" t="b">
        <f>_xlfn.XLOOKUP(CONTROL[[#This Row],[VEHIDCODE]],PROPERTIES[VEHIDCODE],PROPERTIES[EXCLUDE])</f>
        <v>0</v>
      </c>
    </row>
    <row r="503" spans="1:18">
      <c r="A503" s="2" t="s">
        <v>3216</v>
      </c>
      <c r="B503" s="26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7" t="s">
        <v>2415</v>
      </c>
      <c r="G503" t="s">
        <v>1561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6" t="str">
        <f>"item_"&amp;CONTROL[[#This Row],[VEHIDCODE]]</f>
        <v>item_dmu_Sorefame_CP_0600</v>
      </c>
      <c r="P503" s="26" t="str">
        <f>"str_"&amp;CONTROL[[#This Row],[VEHIDCODE]]</f>
        <v>str_dmu_Sorefame_CP_0600</v>
      </c>
      <c r="Q503" s="8" t="b">
        <f>_xlfn.XLOOKUP(CONTROL[[#This Row],[VEHIDCODE]],PROPERTIES[VEHIDCODE],PROPERTIES[IS_CONCEPT])="IS_CONCEPT"</f>
        <v>0</v>
      </c>
      <c r="R503" s="8" t="b">
        <f>_xlfn.XLOOKUP(CONTROL[[#This Row],[VEHIDCODE]],PROPERTIES[VEHIDCODE],PROPERTIES[EXCLUDE])</f>
        <v>0</v>
      </c>
    </row>
    <row r="504" spans="1:18">
      <c r="A504" s="2" t="s">
        <v>3217</v>
      </c>
      <c r="B504" s="26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7" t="s">
        <v>2417</v>
      </c>
      <c r="G504" t="s">
        <v>1564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6" t="str">
        <f>"item_"&amp;CONTROL[[#This Row],[VEHIDCODE]]</f>
        <v>item_dmu_MTM_2400_Apollos</v>
      </c>
      <c r="P504" s="26" t="str">
        <f>"str_"&amp;CONTROL[[#This Row],[VEHIDCODE]]</f>
        <v>str_dmu_MTM_2400_Apollos</v>
      </c>
      <c r="Q504" s="8" t="b">
        <f>_xlfn.XLOOKUP(CONTROL[[#This Row],[VEHIDCODE]],PROPERTIES[VEHIDCODE],PROPERTIES[IS_CONCEPT])="IS_CONCEPT"</f>
        <v>0</v>
      </c>
      <c r="R504" s="8" t="b">
        <f>_xlfn.XLOOKUP(CONTROL[[#This Row],[VEHIDCODE]],PROPERTIES[VEHIDCODE],PROPERTIES[EXCLUDE])</f>
        <v>0</v>
      </c>
    </row>
    <row r="505" spans="1:18">
      <c r="A505" s="2" t="s">
        <v>3218</v>
      </c>
      <c r="B505" s="26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7" t="s">
        <v>2418</v>
      </c>
      <c r="G505" t="s">
        <v>1565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6" t="str">
        <f>"item_"&amp;CONTROL[[#This Row],[VEHIDCODE]]</f>
        <v>item_cargodmu_Windhoff_CargoSprinter</v>
      </c>
      <c r="P505" s="26" t="str">
        <f>"str_"&amp;CONTROL[[#This Row],[VEHIDCODE]]</f>
        <v>str_cargodmu_Windhoff_CargoSprinter</v>
      </c>
      <c r="Q505" s="8" t="b">
        <f>_xlfn.XLOOKUP(CONTROL[[#This Row],[VEHIDCODE]],PROPERTIES[VEHIDCODE],PROPERTIES[IS_CONCEPT])="IS_CONCEPT"</f>
        <v>0</v>
      </c>
      <c r="R505" s="8" t="b">
        <f>_xlfn.XLOOKUP(CONTROL[[#This Row],[VEHIDCODE]],PROPERTIES[VEHIDCODE],PROPERTIES[EXCLUDE])</f>
        <v>0</v>
      </c>
    </row>
    <row r="506" spans="1:18">
      <c r="A506" s="2" t="s">
        <v>3219</v>
      </c>
      <c r="B506" s="26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7" t="s">
        <v>2419</v>
      </c>
      <c r="G506" t="s">
        <v>1566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6" t="str">
        <f>"item_"&amp;CONTROL[[#This Row],[VEHIDCODE]]</f>
        <v>item_emu_Downer_CRRC_Hitachi_Waratah</v>
      </c>
      <c r="P506" s="26" t="str">
        <f>"str_"&amp;CONTROL[[#This Row],[VEHIDCODE]]</f>
        <v>str_emu_Downer_CRRC_Hitachi_Waratah</v>
      </c>
      <c r="Q506" s="8" t="b">
        <f>_xlfn.XLOOKUP(CONTROL[[#This Row],[VEHIDCODE]],PROPERTIES[VEHIDCODE],PROPERTIES[IS_CONCEPT])="IS_CONCEPT"</f>
        <v>0</v>
      </c>
      <c r="R506" s="8" t="b">
        <f>_xlfn.XLOOKUP(CONTROL[[#This Row],[VEHIDCODE]],PROPERTIES[VEHIDCODE],PROPERTIES[EXCLUDE])</f>
        <v>0</v>
      </c>
    </row>
    <row r="507" spans="1:18">
      <c r="A507" s="2" t="s">
        <v>3220</v>
      </c>
      <c r="B507" s="26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7" t="s">
        <v>2420</v>
      </c>
      <c r="G507" t="s">
        <v>1567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6" t="str">
        <f>"item_"&amp;CONTROL[[#This Row],[VEHIDCODE]]</f>
        <v>item_emu_Frichs___Scandia_S_Tog_II</v>
      </c>
      <c r="P507" s="26" t="str">
        <f>"str_"&amp;CONTROL[[#This Row],[VEHIDCODE]]</f>
        <v>str_emu_Frichs___Scandia_S_Tog_II</v>
      </c>
      <c r="Q507" s="8" t="b">
        <f>_xlfn.XLOOKUP(CONTROL[[#This Row],[VEHIDCODE]],PROPERTIES[VEHIDCODE],PROPERTIES[IS_CONCEPT])="IS_CONCEPT"</f>
        <v>0</v>
      </c>
      <c r="R507" s="8" t="b">
        <f>_xlfn.XLOOKUP(CONTROL[[#This Row],[VEHIDCODE]],PROPERTIES[VEHIDCODE],PROPERTIES[EXCLUDE])</f>
        <v>0</v>
      </c>
    </row>
    <row r="508" spans="1:18">
      <c r="A508" s="2" t="s">
        <v>3221</v>
      </c>
      <c r="B508" s="26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7" t="s">
        <v>2632</v>
      </c>
      <c r="G508" t="s">
        <v>1568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6" t="str">
        <f>"item_"&amp;CONTROL[[#This Row],[VEHIDCODE]]</f>
        <v>item_emu_Alsthom_S_Tog_IV</v>
      </c>
      <c r="P508" s="26" t="str">
        <f>"str_"&amp;CONTROL[[#This Row],[VEHIDCODE]]</f>
        <v>str_emu_Alsthom_S_Tog_IV</v>
      </c>
      <c r="Q508" s="8" t="b">
        <f>_xlfn.XLOOKUP(CONTROL[[#This Row],[VEHIDCODE]],PROPERTIES[VEHIDCODE],PROPERTIES[IS_CONCEPT])="IS_CONCEPT"</f>
        <v>0</v>
      </c>
      <c r="R508" s="8" t="b">
        <f>_xlfn.XLOOKUP(CONTROL[[#This Row],[VEHIDCODE]],PROPERTIES[VEHIDCODE],PROPERTIES[EXCLUDE])</f>
        <v>0</v>
      </c>
    </row>
    <row r="509" spans="1:18">
      <c r="A509" s="2" t="s">
        <v>3222</v>
      </c>
      <c r="B509" s="26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7" t="s">
        <v>2421</v>
      </c>
      <c r="G509" t="s">
        <v>1569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6" t="str">
        <f>"item_"&amp;CONTROL[[#This Row],[VEHIDCODE]]</f>
        <v>item_emu_TIBB_ECD_21_30</v>
      </c>
      <c r="P509" s="26" t="str">
        <f>"str_"&amp;CONTROL[[#This Row],[VEHIDCODE]]</f>
        <v>str_emu_TIBB_ECD_21_30</v>
      </c>
      <c r="Q509" s="8" t="b">
        <f>_xlfn.XLOOKUP(CONTROL[[#This Row],[VEHIDCODE]],PROPERTIES[VEHIDCODE],PROPERTIES[IS_CONCEPT])="IS_CONCEPT"</f>
        <v>0</v>
      </c>
      <c r="R509" s="8" t="b">
        <f>_xlfn.XLOOKUP(CONTROL[[#This Row],[VEHIDCODE]],PROPERTIES[VEHIDCODE],PROPERTIES[EXCLUDE])</f>
        <v>0</v>
      </c>
    </row>
    <row r="510" spans="1:18">
      <c r="A510" s="2" t="s">
        <v>3223</v>
      </c>
      <c r="B510" s="26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7" t="s">
        <v>2422</v>
      </c>
      <c r="G510" t="s">
        <v>1570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6" t="str">
        <f>"item_"&amp;CONTROL[[#This Row],[VEHIDCODE]]</f>
        <v>item_emu_Werkspoor_Mat24</v>
      </c>
      <c r="P510" s="26" t="str">
        <f>"str_"&amp;CONTROL[[#This Row],[VEHIDCODE]]</f>
        <v>str_emu_Werkspoor_Mat24</v>
      </c>
      <c r="Q510" s="8" t="b">
        <f>_xlfn.XLOOKUP(CONTROL[[#This Row],[VEHIDCODE]],PROPERTIES[VEHIDCODE],PROPERTIES[IS_CONCEPT])="IS_CONCEPT"</f>
        <v>0</v>
      </c>
      <c r="R510" s="8" t="b">
        <f>_xlfn.XLOOKUP(CONTROL[[#This Row],[VEHIDCODE]],PROPERTIES[VEHIDCODE],PROPERTIES[EXCLUDE])</f>
        <v>0</v>
      </c>
    </row>
    <row r="511" spans="1:18">
      <c r="A511" s="2" t="s">
        <v>3224</v>
      </c>
      <c r="B511" s="26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7" t="s">
        <v>2423</v>
      </c>
      <c r="G511" t="s">
        <v>1571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6" t="str">
        <f>"item_"&amp;CONTROL[[#This Row],[VEHIDCODE]]</f>
        <v>item_emu_Werkspoor_Mat36</v>
      </c>
      <c r="P511" s="26" t="str">
        <f>"str_"&amp;CONTROL[[#This Row],[VEHIDCODE]]</f>
        <v>str_emu_Werkspoor_Mat36</v>
      </c>
      <c r="Q511" s="8" t="b">
        <f>_xlfn.XLOOKUP(CONTROL[[#This Row],[VEHIDCODE]],PROPERTIES[VEHIDCODE],PROPERTIES[IS_CONCEPT])="IS_CONCEPT"</f>
        <v>0</v>
      </c>
      <c r="R511" s="8" t="b">
        <f>_xlfn.XLOOKUP(CONTROL[[#This Row],[VEHIDCODE]],PROPERTIES[VEHIDCODE],PROPERTIES[EXCLUDE])</f>
        <v>0</v>
      </c>
    </row>
    <row r="512" spans="1:18">
      <c r="A512" s="2" t="s">
        <v>3225</v>
      </c>
      <c r="B512" s="26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7" t="s">
        <v>2424</v>
      </c>
      <c r="G512" t="s">
        <v>1572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6" t="str">
        <f>"item_"&amp;CONTROL[[#This Row],[VEHIDCODE]]</f>
        <v>item_emu_Werkspoor_Mat54</v>
      </c>
      <c r="P512" s="26" t="str">
        <f>"str_"&amp;CONTROL[[#This Row],[VEHIDCODE]]</f>
        <v>str_emu_Werkspoor_Mat54</v>
      </c>
      <c r="Q512" s="8" t="b">
        <f>_xlfn.XLOOKUP(CONTROL[[#This Row],[VEHIDCODE]],PROPERTIES[VEHIDCODE],PROPERTIES[IS_CONCEPT])="IS_CONCEPT"</f>
        <v>0</v>
      </c>
      <c r="R512" s="8" t="b">
        <f>_xlfn.XLOOKUP(CONTROL[[#This Row],[VEHIDCODE]],PROPERTIES[VEHIDCODE],PROPERTIES[EXCLUDE])</f>
        <v>0</v>
      </c>
    </row>
    <row r="513" spans="1:18">
      <c r="A513" s="2" t="s">
        <v>3226</v>
      </c>
      <c r="B513" s="26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7" t="s">
        <v>2425</v>
      </c>
      <c r="G513" t="s">
        <v>1573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6" t="str">
        <f>"item_"&amp;CONTROL[[#This Row],[VEHIDCODE]]</f>
        <v>item_emu_Talbot_Plan_Y</v>
      </c>
      <c r="P513" s="26" t="str">
        <f>"str_"&amp;CONTROL[[#This Row],[VEHIDCODE]]</f>
        <v>str_emu_Talbot_Plan_Y</v>
      </c>
      <c r="Q513" s="8" t="b">
        <f>_xlfn.XLOOKUP(CONTROL[[#This Row],[VEHIDCODE]],PROPERTIES[VEHIDCODE],PROPERTIES[IS_CONCEPT])="IS_CONCEPT"</f>
        <v>0</v>
      </c>
      <c r="R513" s="8" t="b">
        <f>_xlfn.XLOOKUP(CONTROL[[#This Row],[VEHIDCODE]],PROPERTIES[VEHIDCODE],PROPERTIES[EXCLUDE])</f>
        <v>0</v>
      </c>
    </row>
    <row r="514" spans="1:18">
      <c r="A514" s="2" t="s">
        <v>3227</v>
      </c>
      <c r="B514" s="26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7" t="s">
        <v>2426</v>
      </c>
      <c r="G514" t="s">
        <v>1574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6" t="str">
        <f>"item_"&amp;CONTROL[[#This Row],[VEHIDCODE]]</f>
        <v>item_emu_Talbot_ICM_4000</v>
      </c>
      <c r="P514" s="26" t="str">
        <f>"str_"&amp;CONTROL[[#This Row],[VEHIDCODE]]</f>
        <v>str_emu_Talbot_ICM_4000</v>
      </c>
      <c r="Q514" s="8" t="b">
        <f>_xlfn.XLOOKUP(CONTROL[[#This Row],[VEHIDCODE]],PROPERTIES[VEHIDCODE],PROPERTIES[IS_CONCEPT])="IS_CONCEPT"</f>
        <v>0</v>
      </c>
      <c r="R514" s="8" t="b">
        <f>_xlfn.XLOOKUP(CONTROL[[#This Row],[VEHIDCODE]],PROPERTIES[VEHIDCODE],PROPERTIES[EXCLUDE])</f>
        <v>0</v>
      </c>
    </row>
    <row r="515" spans="1:18">
      <c r="A515" s="2" t="s">
        <v>3228</v>
      </c>
      <c r="B515" s="26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7" t="s">
        <v>2427</v>
      </c>
      <c r="G515" t="s">
        <v>1575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6" t="str">
        <f>"item_"&amp;CONTROL[[#This Row],[VEHIDCODE]]</f>
        <v>item_emu_Talbot_DD_IRM_VIRM_8000</v>
      </c>
      <c r="P515" s="26" t="str">
        <f>"str_"&amp;CONTROL[[#This Row],[VEHIDCODE]]</f>
        <v>str_emu_Talbot_DD_IRM_VIRM_8000</v>
      </c>
      <c r="Q515" s="8" t="b">
        <f>_xlfn.XLOOKUP(CONTROL[[#This Row],[VEHIDCODE]],PROPERTIES[VEHIDCODE],PROPERTIES[IS_CONCEPT])="IS_CONCEPT"</f>
        <v>0</v>
      </c>
      <c r="R515" s="8" t="b">
        <f>_xlfn.XLOOKUP(CONTROL[[#This Row],[VEHIDCODE]],PROPERTIES[VEHIDCODE],PROPERTIES[EXCLUDE])</f>
        <v>0</v>
      </c>
    </row>
    <row r="516" spans="1:18">
      <c r="A516" s="2" t="s">
        <v>3229</v>
      </c>
      <c r="B516" s="26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7" t="s">
        <v>2428</v>
      </c>
      <c r="G516" t="s">
        <v>1578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6" t="str">
        <f>"item_"&amp;CONTROL[[#This Row],[VEHIDCODE]]</f>
        <v>item_emu_De_Dietrich_Adtranz_mDDm_390</v>
      </c>
      <c r="P516" s="26" t="str">
        <f>"str_"&amp;CONTROL[[#This Row],[VEHIDCODE]]</f>
        <v>str_emu_De_Dietrich_Adtranz_mDDm_390</v>
      </c>
      <c r="Q516" s="8" t="b">
        <f>_xlfn.XLOOKUP(CONTROL[[#This Row],[VEHIDCODE]],PROPERTIES[VEHIDCODE],PROPERTIES[IS_CONCEPT])="IS_CONCEPT"</f>
        <v>0</v>
      </c>
      <c r="R516" s="8" t="b">
        <f>_xlfn.XLOOKUP(CONTROL[[#This Row],[VEHIDCODE]],PROPERTIES[VEHIDCODE],PROPERTIES[EXCLUDE])</f>
        <v>0</v>
      </c>
    </row>
    <row r="517" spans="1:18">
      <c r="A517" s="2" t="s">
        <v>3230</v>
      </c>
      <c r="B517" s="26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7" t="s">
        <v>3572</v>
      </c>
      <c r="G517" t="s">
        <v>1576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6" t="str">
        <f>"item_"&amp;CONTROL[[#This Row],[VEHIDCODE]]</f>
        <v>item_emu_AEG_EW90</v>
      </c>
      <c r="P517" s="26" t="str">
        <f>"str_"&amp;CONTROL[[#This Row],[VEHIDCODE]]</f>
        <v>str_emu_AEG_EW90</v>
      </c>
      <c r="Q517" s="8" t="b">
        <f>_xlfn.XLOOKUP(CONTROL[[#This Row],[VEHIDCODE]],PROPERTIES[VEHIDCODE],PROPERTIES[IS_CONCEPT])="IS_CONCEPT"</f>
        <v>0</v>
      </c>
      <c r="R517" s="8" t="b">
        <f>_xlfn.XLOOKUP(CONTROL[[#This Row],[VEHIDCODE]],PROPERTIES[VEHIDCODE],PROPERTIES[EXCLUDE])</f>
        <v>0</v>
      </c>
    </row>
    <row r="518" spans="1:18">
      <c r="A518" s="2" t="s">
        <v>3231</v>
      </c>
      <c r="B518" s="26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7" t="s">
        <v>2429</v>
      </c>
      <c r="G518" t="s">
        <v>1577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6" t="str">
        <f>"item_"&amp;CONTROL[[#This Row],[VEHIDCODE]]</f>
        <v>item_emu_Breda_ETR_200</v>
      </c>
      <c r="P518" s="26" t="str">
        <f>"str_"&amp;CONTROL[[#This Row],[VEHIDCODE]]</f>
        <v>str_emu_Breda_ETR_200</v>
      </c>
      <c r="Q518" s="8" t="b">
        <f>_xlfn.XLOOKUP(CONTROL[[#This Row],[VEHIDCODE]],PROPERTIES[VEHIDCODE],PROPERTIES[IS_CONCEPT])="IS_CONCEPT"</f>
        <v>0</v>
      </c>
      <c r="R518" s="8" t="b">
        <f>_xlfn.XLOOKUP(CONTROL[[#This Row],[VEHIDCODE]],PROPERTIES[VEHIDCODE],PROPERTIES[EXCLUDE])</f>
        <v>0</v>
      </c>
    </row>
    <row r="519" spans="1:18">
      <c r="A519" s="2" t="s">
        <v>3232</v>
      </c>
      <c r="B519" s="26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7" t="s">
        <v>2430</v>
      </c>
      <c r="G519" t="s">
        <v>1579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6" t="str">
        <f>"item_"&amp;CONTROL[[#This Row],[VEHIDCODE]]</f>
        <v>item_emu_Breda_ETR_300_Settebello</v>
      </c>
      <c r="P519" s="26" t="str">
        <f>"str_"&amp;CONTROL[[#This Row],[VEHIDCODE]]</f>
        <v>str_emu_Breda_ETR_300_Settebello</v>
      </c>
      <c r="Q519" s="8" t="b">
        <f>_xlfn.XLOOKUP(CONTROL[[#This Row],[VEHIDCODE]],PROPERTIES[VEHIDCODE],PROPERTIES[IS_CONCEPT])="IS_CONCEPT"</f>
        <v>0</v>
      </c>
      <c r="R519" s="8" t="b">
        <f>_xlfn.XLOOKUP(CONTROL[[#This Row],[VEHIDCODE]],PROPERTIES[VEHIDCODE],PROPERTIES[EXCLUDE])</f>
        <v>0</v>
      </c>
    </row>
    <row r="520" spans="1:18">
      <c r="A520" s="2" t="s">
        <v>3233</v>
      </c>
      <c r="B520" s="26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7" t="s">
        <v>2431</v>
      </c>
      <c r="G520" t="s">
        <v>1580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6" t="str">
        <f>"item_"&amp;CONTROL[[#This Row],[VEHIDCODE]]</f>
        <v>item_emu_TREVI_ETR_500_Frecciarossa</v>
      </c>
      <c r="P520" s="26" t="str">
        <f>"str_"&amp;CONTROL[[#This Row],[VEHIDCODE]]</f>
        <v>str_emu_TREVI_ETR_500_Frecciarossa</v>
      </c>
      <c r="Q520" s="8" t="b">
        <f>_xlfn.XLOOKUP(CONTROL[[#This Row],[VEHIDCODE]],PROPERTIES[VEHIDCODE],PROPERTIES[IS_CONCEPT])="IS_CONCEPT"</f>
        <v>0</v>
      </c>
      <c r="R520" s="8" t="b">
        <f>_xlfn.XLOOKUP(CONTROL[[#This Row],[VEHIDCODE]],PROPERTIES[VEHIDCODE],PROPERTIES[EXCLUDE])</f>
        <v>0</v>
      </c>
    </row>
    <row r="521" spans="1:18">
      <c r="A521" s="2" t="s">
        <v>3234</v>
      </c>
      <c r="B521" s="26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7" t="s">
        <v>2432</v>
      </c>
      <c r="G521" t="s">
        <v>1581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6" t="str">
        <f>"item_"&amp;CONTROL[[#This Row],[VEHIDCODE]]</f>
        <v>item_emu_AnsaldoBreda_ALe_426</v>
      </c>
      <c r="P521" s="26" t="str">
        <f>"str_"&amp;CONTROL[[#This Row],[VEHIDCODE]]</f>
        <v>str_emu_AnsaldoBreda_ALe_426</v>
      </c>
      <c r="Q521" s="8" t="b">
        <f>_xlfn.XLOOKUP(CONTROL[[#This Row],[VEHIDCODE]],PROPERTIES[VEHIDCODE],PROPERTIES[IS_CONCEPT])="IS_CONCEPT"</f>
        <v>0</v>
      </c>
      <c r="R521" s="8" t="b">
        <f>_xlfn.XLOOKUP(CONTROL[[#This Row],[VEHIDCODE]],PROPERTIES[VEHIDCODE],PROPERTIES[EXCLUDE])</f>
        <v>0</v>
      </c>
    </row>
    <row r="522" spans="1:18">
      <c r="A522" s="2" t="s">
        <v>3235</v>
      </c>
      <c r="B522" s="26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7" t="s">
        <v>2433</v>
      </c>
      <c r="G522" t="s">
        <v>1582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6" t="str">
        <f>"item_"&amp;CONTROL[[#This Row],[VEHIDCODE]]</f>
        <v>item_emu_BN_ACEC_ZMC</v>
      </c>
      <c r="P522" s="26" t="str">
        <f>"str_"&amp;CONTROL[[#This Row],[VEHIDCODE]]</f>
        <v>str_emu_BN_ACEC_ZMC</v>
      </c>
      <c r="Q522" s="8" t="b">
        <f>_xlfn.XLOOKUP(CONTROL[[#This Row],[VEHIDCODE]],PROPERTIES[VEHIDCODE],PROPERTIES[IS_CONCEPT])="IS_CONCEPT"</f>
        <v>0</v>
      </c>
      <c r="R522" s="8" t="b">
        <f>_xlfn.XLOOKUP(CONTROL[[#This Row],[VEHIDCODE]],PROPERTIES[VEHIDCODE],PROPERTIES[EXCLUDE])</f>
        <v>0</v>
      </c>
    </row>
    <row r="523" spans="1:18">
      <c r="A523" s="2" t="s">
        <v>3236</v>
      </c>
      <c r="B523" s="26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7" t="s">
        <v>2434</v>
      </c>
      <c r="G523" t="s">
        <v>1583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6" t="str">
        <f>"item_"&amp;CONTROL[[#This Row],[VEHIDCODE]]</f>
        <v>item_emu_ASEA_EW54</v>
      </c>
      <c r="P523" s="26" t="str">
        <f>"str_"&amp;CONTROL[[#This Row],[VEHIDCODE]]</f>
        <v>str_emu_ASEA_EW54</v>
      </c>
      <c r="Q523" s="8" t="b">
        <f>_xlfn.XLOOKUP(CONTROL[[#This Row],[VEHIDCODE]],PROPERTIES[VEHIDCODE],PROPERTIES[IS_CONCEPT])="IS_CONCEPT"</f>
        <v>0</v>
      </c>
      <c r="R523" s="8" t="b">
        <f>_xlfn.XLOOKUP(CONTROL[[#This Row],[VEHIDCODE]],PROPERTIES[VEHIDCODE],PROPERTIES[EXCLUDE])</f>
        <v>0</v>
      </c>
    </row>
    <row r="524" spans="1:18">
      <c r="A524" s="2" t="s">
        <v>3237</v>
      </c>
      <c r="B524" s="26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7" t="s">
        <v>2435</v>
      </c>
      <c r="G524" t="s">
        <v>1584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6" t="str">
        <f>"item_"&amp;CONTROL[[#This Row],[VEHIDCODE]]</f>
        <v>item_emu_Breda_ALe_801</v>
      </c>
      <c r="P524" s="26" t="str">
        <f>"str_"&amp;CONTROL[[#This Row],[VEHIDCODE]]</f>
        <v>str_emu_Breda_ALe_801</v>
      </c>
      <c r="Q524" s="8" t="b">
        <f>_xlfn.XLOOKUP(CONTROL[[#This Row],[VEHIDCODE]],PROPERTIES[VEHIDCODE],PROPERTIES[IS_CONCEPT])="IS_CONCEPT"</f>
        <v>0</v>
      </c>
      <c r="R524" s="8" t="b">
        <f>_xlfn.XLOOKUP(CONTROL[[#This Row],[VEHIDCODE]],PROPERTIES[VEHIDCODE],PROPERTIES[EXCLUDE])</f>
        <v>0</v>
      </c>
    </row>
    <row r="525" spans="1:18">
      <c r="A525" s="2" t="s">
        <v>3238</v>
      </c>
      <c r="B525" s="26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7" t="s">
        <v>2436</v>
      </c>
      <c r="G525" t="s">
        <v>1585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6" t="str">
        <f>"item_"&amp;CONTROL[[#This Row],[VEHIDCODE]]</f>
        <v>item_emu_SGP_AEG_BBC_4030</v>
      </c>
      <c r="P525" s="26" t="str">
        <f>"str_"&amp;CONTROL[[#This Row],[VEHIDCODE]]</f>
        <v>str_emu_SGP_AEG_BBC_4030</v>
      </c>
      <c r="Q525" s="8" t="b">
        <f>_xlfn.XLOOKUP(CONTROL[[#This Row],[VEHIDCODE]],PROPERTIES[VEHIDCODE],PROPERTIES[IS_CONCEPT])="IS_CONCEPT"</f>
        <v>0</v>
      </c>
      <c r="R525" s="8" t="b">
        <f>_xlfn.XLOOKUP(CONTROL[[#This Row],[VEHIDCODE]],PROPERTIES[VEHIDCODE],PROPERTIES[EXCLUDE])</f>
        <v>0</v>
      </c>
    </row>
    <row r="526" spans="1:18">
      <c r="A526" s="2" t="s">
        <v>3239</v>
      </c>
      <c r="B526" s="26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7" t="s">
        <v>2437</v>
      </c>
      <c r="G526" t="s">
        <v>1586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6" t="str">
        <f>"item_"&amp;CONTROL[[#This Row],[VEHIDCODE]]</f>
        <v>item_emu_ELIN_ET_10</v>
      </c>
      <c r="P526" s="26" t="str">
        <f>"str_"&amp;CONTROL[[#This Row],[VEHIDCODE]]</f>
        <v>str_emu_ELIN_ET_10</v>
      </c>
      <c r="Q526" s="8" t="b">
        <f>_xlfn.XLOOKUP(CONTROL[[#This Row],[VEHIDCODE]],PROPERTIES[VEHIDCODE],PROPERTIES[IS_CONCEPT])="IS_CONCEPT"</f>
        <v>0</v>
      </c>
      <c r="R526" s="8" t="b">
        <f>_xlfn.XLOOKUP(CONTROL[[#This Row],[VEHIDCODE]],PROPERTIES[VEHIDCODE],PROPERTIES[EXCLUDE])</f>
        <v>0</v>
      </c>
    </row>
    <row r="527" spans="1:18">
      <c r="A527" s="2" t="s">
        <v>3240</v>
      </c>
      <c r="B527" s="26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7" t="s">
        <v>3573</v>
      </c>
      <c r="G527" t="s">
        <v>1587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6" t="str">
        <f>"item_"&amp;CONTROL[[#This Row],[VEHIDCODE]]</f>
        <v>item_emu_Stadler_4010_KISS</v>
      </c>
      <c r="P527" s="26" t="str">
        <f>"str_"&amp;CONTROL[[#This Row],[VEHIDCODE]]</f>
        <v>str_emu_Stadler_4010_KISS</v>
      </c>
      <c r="Q527" s="8" t="b">
        <f>_xlfn.XLOOKUP(CONTROL[[#This Row],[VEHIDCODE]],PROPERTIES[VEHIDCODE],PROPERTIES[IS_CONCEPT])="IS_CONCEPT"</f>
        <v>0</v>
      </c>
      <c r="R527" s="8" t="b">
        <f>_xlfn.XLOOKUP(CONTROL[[#This Row],[VEHIDCODE]],PROPERTIES[VEHIDCODE],PROPERTIES[EXCLUDE])</f>
        <v>0</v>
      </c>
    </row>
    <row r="528" spans="1:18">
      <c r="A528" s="2" t="s">
        <v>3241</v>
      </c>
      <c r="B528" s="26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7" t="s">
        <v>2438</v>
      </c>
      <c r="G528" t="s">
        <v>1588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6" t="str">
        <f>"item_"&amp;CONTROL[[#This Row],[VEHIDCODE]]</f>
        <v>item_emu_LHB_420</v>
      </c>
      <c r="P528" s="26" t="str">
        <f>"str_"&amp;CONTROL[[#This Row],[VEHIDCODE]]</f>
        <v>str_emu_LHB_420</v>
      </c>
      <c r="Q528" s="8" t="b">
        <f>_xlfn.XLOOKUP(CONTROL[[#This Row],[VEHIDCODE]],PROPERTIES[VEHIDCODE],PROPERTIES[IS_CONCEPT])="IS_CONCEPT"</f>
        <v>0</v>
      </c>
      <c r="R528" s="8" t="b">
        <f>_xlfn.XLOOKUP(CONTROL[[#This Row],[VEHIDCODE]],PROPERTIES[VEHIDCODE],PROPERTIES[EXCLUDE])</f>
        <v>0</v>
      </c>
    </row>
    <row r="529" spans="1:18">
      <c r="A529" s="2" t="s">
        <v>3242</v>
      </c>
      <c r="B529" s="26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7" t="s">
        <v>2439</v>
      </c>
      <c r="G529" t="s">
        <v>1589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6" t="str">
        <f>"item_"&amp;CONTROL[[#This Row],[VEHIDCODE]]</f>
        <v>item_emu_Adtranz_BM73</v>
      </c>
      <c r="P529" s="26" t="str">
        <f>"str_"&amp;CONTROL[[#This Row],[VEHIDCODE]]</f>
        <v>str_emu_Adtranz_BM73</v>
      </c>
      <c r="Q529" s="8" t="b">
        <f>_xlfn.XLOOKUP(CONTROL[[#This Row],[VEHIDCODE]],PROPERTIES[VEHIDCODE],PROPERTIES[IS_CONCEPT])="IS_CONCEPT"</f>
        <v>0</v>
      </c>
      <c r="R529" s="8" t="b">
        <f>_xlfn.XLOOKUP(CONTROL[[#This Row],[VEHIDCODE]],PROPERTIES[VEHIDCODE],PROPERTIES[EXCLUDE])</f>
        <v>0</v>
      </c>
    </row>
    <row r="530" spans="1:18">
      <c r="A530" s="2" t="s">
        <v>3243</v>
      </c>
      <c r="B530" s="26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7" t="s">
        <v>2440</v>
      </c>
      <c r="G530" t="s">
        <v>1590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6" t="str">
        <f>"item_"&amp;CONTROL[[#This Row],[VEHIDCODE]]</f>
        <v>item_emu_NEBB_M65</v>
      </c>
      <c r="P530" s="26" t="str">
        <f>"str_"&amp;CONTROL[[#This Row],[VEHIDCODE]]</f>
        <v>str_emu_NEBB_M65</v>
      </c>
      <c r="Q530" s="8" t="b">
        <f>_xlfn.XLOOKUP(CONTROL[[#This Row],[VEHIDCODE]],PROPERTIES[VEHIDCODE],PROPERTIES[IS_CONCEPT])="IS_CONCEPT"</f>
        <v>0</v>
      </c>
      <c r="R530" s="8" t="b">
        <f>_xlfn.XLOOKUP(CONTROL[[#This Row],[VEHIDCODE]],PROPERTIES[VEHIDCODE],PROPERTIES[EXCLUDE])</f>
        <v>0</v>
      </c>
    </row>
    <row r="531" spans="1:18">
      <c r="A531" s="2" t="s">
        <v>3244</v>
      </c>
      <c r="B531" s="26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7" t="s">
        <v>2441</v>
      </c>
      <c r="G531" t="s">
        <v>1591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6" t="str">
        <f>"item_"&amp;CONTROL[[#This Row],[VEHIDCODE]]</f>
        <v>item_emu_ASEA_X2000</v>
      </c>
      <c r="P531" s="26" t="str">
        <f>"str_"&amp;CONTROL[[#This Row],[VEHIDCODE]]</f>
        <v>str_emu_ASEA_X2000</v>
      </c>
      <c r="Q531" s="8" t="b">
        <f>_xlfn.XLOOKUP(CONTROL[[#This Row],[VEHIDCODE]],PROPERTIES[VEHIDCODE],PROPERTIES[IS_CONCEPT])="IS_CONCEPT"</f>
        <v>0</v>
      </c>
      <c r="R531" s="8" t="b">
        <f>_xlfn.XLOOKUP(CONTROL[[#This Row],[VEHIDCODE]],PROPERTIES[VEHIDCODE],PROPERTIES[EXCLUDE])</f>
        <v>0</v>
      </c>
    </row>
    <row r="532" spans="1:18">
      <c r="A532" s="2" t="s">
        <v>3245</v>
      </c>
      <c r="B532" s="26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7" t="s">
        <v>2442</v>
      </c>
      <c r="G532" t="s">
        <v>1592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6" t="str">
        <f>"item_"&amp;CONTROL[[#This Row],[VEHIDCODE]]</f>
        <v>item_emu_SWP_RABDe_510</v>
      </c>
      <c r="P532" s="26" t="str">
        <f>"str_"&amp;CONTROL[[#This Row],[VEHIDCODE]]</f>
        <v>str_emu_SWP_RABDe_510</v>
      </c>
      <c r="Q532" s="8" t="b">
        <f>_xlfn.XLOOKUP(CONTROL[[#This Row],[VEHIDCODE]],PROPERTIES[VEHIDCODE],PROPERTIES[IS_CONCEPT])="IS_CONCEPT"</f>
        <v>0</v>
      </c>
      <c r="R532" s="8" t="b">
        <f>_xlfn.XLOOKUP(CONTROL[[#This Row],[VEHIDCODE]],PROPERTIES[VEHIDCODE],PROPERTIES[EXCLUDE])</f>
        <v>0</v>
      </c>
    </row>
    <row r="533" spans="1:18">
      <c r="A533" s="2" t="s">
        <v>3246</v>
      </c>
      <c r="B533" s="26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7" t="s">
        <v>2443</v>
      </c>
      <c r="G533" t="s">
        <v>1593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6" t="str">
        <f>"item_"&amp;CONTROL[[#This Row],[VEHIDCODE]]</f>
        <v>item_emu_Schindler_RBDe_560</v>
      </c>
      <c r="P533" s="26" t="str">
        <f>"str_"&amp;CONTROL[[#This Row],[VEHIDCODE]]</f>
        <v>str_emu_Schindler_RBDe_560</v>
      </c>
      <c r="Q533" s="8" t="b">
        <f>_xlfn.XLOOKUP(CONTROL[[#This Row],[VEHIDCODE]],PROPERTIES[VEHIDCODE],PROPERTIES[IS_CONCEPT])="IS_CONCEPT"</f>
        <v>0</v>
      </c>
      <c r="R533" s="8" t="b">
        <f>_xlfn.XLOOKUP(CONTROL[[#This Row],[VEHIDCODE]],PROPERTIES[VEHIDCODE],PROPERTIES[EXCLUDE])</f>
        <v>0</v>
      </c>
    </row>
    <row r="534" spans="1:18">
      <c r="A534" s="2" t="s">
        <v>3247</v>
      </c>
      <c r="B534" s="26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7" t="s">
        <v>2444</v>
      </c>
      <c r="G534" t="s">
        <v>1594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6" t="str">
        <f>"item_"&amp;CONTROL[[#This Row],[VEHIDCODE]]</f>
        <v>item_emu_Stadler_RABe_523_Flirt</v>
      </c>
      <c r="P534" s="26" t="str">
        <f>"str_"&amp;CONTROL[[#This Row],[VEHIDCODE]]</f>
        <v>str_emu_Stadler_RABe_523_Flirt</v>
      </c>
      <c r="Q534" s="8" t="b">
        <f>_xlfn.XLOOKUP(CONTROL[[#This Row],[VEHIDCODE]],PROPERTIES[VEHIDCODE],PROPERTIES[IS_CONCEPT])="IS_CONCEPT"</f>
        <v>0</v>
      </c>
      <c r="R534" s="8" t="b">
        <f>_xlfn.XLOOKUP(CONTROL[[#This Row],[VEHIDCODE]],PROPERTIES[VEHIDCODE],PROPERTIES[EXCLUDE])</f>
        <v>0</v>
      </c>
    </row>
    <row r="535" spans="1:18">
      <c r="A535" s="2" t="s">
        <v>3248</v>
      </c>
      <c r="B535" s="26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7" t="s">
        <v>2445</v>
      </c>
      <c r="G535" t="s">
        <v>1595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6" t="str">
        <f>"item_"&amp;CONTROL[[#This Row],[VEHIDCODE]]</f>
        <v>item_emu_Budd_Metroliner</v>
      </c>
      <c r="P535" s="26" t="str">
        <f>"str_"&amp;CONTROL[[#This Row],[VEHIDCODE]]</f>
        <v>str_emu_Budd_Metroliner</v>
      </c>
      <c r="Q535" s="8" t="b">
        <f>_xlfn.XLOOKUP(CONTROL[[#This Row],[VEHIDCODE]],PROPERTIES[VEHIDCODE],PROPERTIES[IS_CONCEPT])="IS_CONCEPT"</f>
        <v>0</v>
      </c>
      <c r="R535" s="8" t="b">
        <f>_xlfn.XLOOKUP(CONTROL[[#This Row],[VEHIDCODE]],PROPERTIES[VEHIDCODE],PROPERTIES[EXCLUDE])</f>
        <v>0</v>
      </c>
    </row>
    <row r="536" spans="1:18">
      <c r="A536" s="2" t="s">
        <v>3249</v>
      </c>
      <c r="B536" s="26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7" t="s">
        <v>2466</v>
      </c>
      <c r="G536" t="s">
        <v>1596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6" t="str">
        <f>"item_"&amp;CONTROL[[#This Row],[VEHIDCODE]]</f>
        <v>item_emu_Siemens_Velero</v>
      </c>
      <c r="P536" s="26" t="str">
        <f>"str_"&amp;CONTROL[[#This Row],[VEHIDCODE]]</f>
        <v>str_emu_Siemens_Velero</v>
      </c>
      <c r="Q536" s="8" t="b">
        <f>_xlfn.XLOOKUP(CONTROL[[#This Row],[VEHIDCODE]],PROPERTIES[VEHIDCODE],PROPERTIES[IS_CONCEPT])="IS_CONCEPT"</f>
        <v>0</v>
      </c>
      <c r="R536" s="8" t="b">
        <f>_xlfn.XLOOKUP(CONTROL[[#This Row],[VEHIDCODE]],PROPERTIES[VEHIDCODE],PROPERTIES[EXCLUDE])</f>
        <v>0</v>
      </c>
    </row>
    <row r="537" spans="1:18">
      <c r="A537" s="2" t="s">
        <v>3250</v>
      </c>
      <c r="B537" s="26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7" t="s">
        <v>2446</v>
      </c>
      <c r="G537" t="s">
        <v>1597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6" t="str">
        <f>"item_"&amp;CONTROL[[#This Row],[VEHIDCODE]]</f>
        <v>item_emu_Siemens_Desiro_BDZ</v>
      </c>
      <c r="P537" s="26" t="str">
        <f>"str_"&amp;CONTROL[[#This Row],[VEHIDCODE]]</f>
        <v>str_emu_Siemens_Desiro_BDZ</v>
      </c>
      <c r="Q537" s="8" t="b">
        <f>_xlfn.XLOOKUP(CONTROL[[#This Row],[VEHIDCODE]],PROPERTIES[VEHIDCODE],PROPERTIES[IS_CONCEPT])="IS_CONCEPT"</f>
        <v>0</v>
      </c>
      <c r="R537" s="8" t="b">
        <f>_xlfn.XLOOKUP(CONTROL[[#This Row],[VEHIDCODE]],PROPERTIES[VEHIDCODE],PROPERTIES[EXCLUDE])</f>
        <v>0</v>
      </c>
    </row>
    <row r="538" spans="1:18">
      <c r="A538" s="2" t="s">
        <v>3251</v>
      </c>
      <c r="B538" s="26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7" t="s">
        <v>2447</v>
      </c>
      <c r="G538" t="s">
        <v>1598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6" t="str">
        <f>"item_"&amp;CONTROL[[#This Row],[VEHIDCODE]]</f>
        <v>item_emu_Valmet_Sm2</v>
      </c>
      <c r="P538" s="26" t="str">
        <f>"str_"&amp;CONTROL[[#This Row],[VEHIDCODE]]</f>
        <v>str_emu_Valmet_Sm2</v>
      </c>
      <c r="Q538" s="8" t="b">
        <f>_xlfn.XLOOKUP(CONTROL[[#This Row],[VEHIDCODE]],PROPERTIES[VEHIDCODE],PROPERTIES[IS_CONCEPT])="IS_CONCEPT"</f>
        <v>0</v>
      </c>
      <c r="R538" s="8" t="b">
        <f>_xlfn.XLOOKUP(CONTROL[[#This Row],[VEHIDCODE]],PROPERTIES[VEHIDCODE],PROPERTIES[EXCLUDE])</f>
        <v>0</v>
      </c>
    </row>
    <row r="539" spans="1:18">
      <c r="A539" s="2" t="s">
        <v>3252</v>
      </c>
      <c r="B539" s="26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7" t="s">
        <v>2448</v>
      </c>
      <c r="G539" t="s">
        <v>1599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6" t="str">
        <f>"item_"&amp;CONTROL[[#This Row],[VEHIDCODE]]</f>
        <v>item_emu_Fiat_CAF_Sm4</v>
      </c>
      <c r="P539" s="26" t="str">
        <f>"str_"&amp;CONTROL[[#This Row],[VEHIDCODE]]</f>
        <v>str_emu_Fiat_CAF_Sm4</v>
      </c>
      <c r="Q539" s="8" t="b">
        <f>_xlfn.XLOOKUP(CONTROL[[#This Row],[VEHIDCODE]],PROPERTIES[VEHIDCODE],PROPERTIES[IS_CONCEPT])="IS_CONCEPT"</f>
        <v>0</v>
      </c>
      <c r="R539" s="8" t="b">
        <f>_xlfn.XLOOKUP(CONTROL[[#This Row],[VEHIDCODE]],PROPERTIES[VEHIDCODE],PROPERTIES[EXCLUDE])</f>
        <v>0</v>
      </c>
    </row>
    <row r="540" spans="1:18">
      <c r="A540" s="2" t="s">
        <v>3253</v>
      </c>
      <c r="B540" s="26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7" t="s">
        <v>2693</v>
      </c>
      <c r="G540" t="s">
        <v>1600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6" t="str">
        <f>"item_"&amp;CONTROL[[#This Row],[VEHIDCODE]]</f>
        <v>item_emu_Ganz_MAVAG_VM17_BDVmot</v>
      </c>
      <c r="P540" s="26" t="str">
        <f>"str_"&amp;CONTROL[[#This Row],[VEHIDCODE]]</f>
        <v>str_emu_Ganz_MAVAG_VM17_BDVmot</v>
      </c>
      <c r="Q540" s="8" t="b">
        <f>_xlfn.XLOOKUP(CONTROL[[#This Row],[VEHIDCODE]],PROPERTIES[VEHIDCODE],PROPERTIES[IS_CONCEPT])="IS_CONCEPT"</f>
        <v>0</v>
      </c>
      <c r="R540" s="8" t="b">
        <f>_xlfn.XLOOKUP(CONTROL[[#This Row],[VEHIDCODE]],PROPERTIES[VEHIDCODE],PROPERTIES[EXCLUDE])</f>
        <v>0</v>
      </c>
    </row>
    <row r="541" spans="1:18">
      <c r="A541" s="2" t="s">
        <v>3254</v>
      </c>
      <c r="B541" s="26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7" t="s">
        <v>2679</v>
      </c>
      <c r="G541" t="s">
        <v>561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6" t="str">
        <f>"item_"&amp;CONTROL[[#This Row],[VEHIDCODE]]</f>
        <v>item_emu_ACME_Corp__Sureot</v>
      </c>
      <c r="P541" s="26" t="str">
        <f>"str_"&amp;CONTROL[[#This Row],[VEHIDCODE]]</f>
        <v>str_emu_ACME_Corp__Sureot</v>
      </c>
      <c r="Q541" s="8" t="b">
        <f>_xlfn.XLOOKUP(CONTROL[[#This Row],[VEHIDCODE]],PROPERTIES[VEHIDCODE],PROPERTIES[IS_CONCEPT])="IS_CONCEPT"</f>
        <v>1</v>
      </c>
      <c r="R541" s="8" t="b">
        <f>_xlfn.XLOOKUP(CONTROL[[#This Row],[VEHIDCODE]],PROPERTIES[VEHIDCODE],PROPERTIES[EXCLUDE])</f>
        <v>0</v>
      </c>
    </row>
    <row r="542" spans="1:18">
      <c r="A542" s="2" t="s">
        <v>3255</v>
      </c>
      <c r="B542" s="26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7" t="s">
        <v>2449</v>
      </c>
      <c r="G542" t="s">
        <v>1601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6" t="str">
        <f>"item_"&amp;CONTROL[[#This Row],[VEHIDCODE]]</f>
        <v>item_emu_Hitachi_Shinkansen_Series_0</v>
      </c>
      <c r="P542" s="26" t="str">
        <f>"str_"&amp;CONTROL[[#This Row],[VEHIDCODE]]</f>
        <v>str_emu_Hitachi_Shinkansen_Series_0</v>
      </c>
      <c r="Q542" s="8" t="b">
        <f>_xlfn.XLOOKUP(CONTROL[[#This Row],[VEHIDCODE]],PROPERTIES[VEHIDCODE],PROPERTIES[IS_CONCEPT])="IS_CONCEPT"</f>
        <v>0</v>
      </c>
      <c r="R542" s="8" t="b">
        <f>_xlfn.XLOOKUP(CONTROL[[#This Row],[VEHIDCODE]],PROPERTIES[VEHIDCODE],PROPERTIES[EXCLUDE])</f>
        <v>0</v>
      </c>
    </row>
    <row r="543" spans="1:18">
      <c r="A543" s="2" t="s">
        <v>3256</v>
      </c>
      <c r="B543" s="26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7" t="s">
        <v>2450</v>
      </c>
      <c r="G543" t="s">
        <v>1602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6" t="str">
        <f>"item_"&amp;CONTROL[[#This Row],[VEHIDCODE]]</f>
        <v>item_emu_Hitachi_Shinkansen_Series_700</v>
      </c>
      <c r="P543" s="26" t="str">
        <f>"str_"&amp;CONTROL[[#This Row],[VEHIDCODE]]</f>
        <v>str_emu_Hitachi_Shinkansen_Series_700</v>
      </c>
      <c r="Q543" s="8" t="b">
        <f>_xlfn.XLOOKUP(CONTROL[[#This Row],[VEHIDCODE]],PROPERTIES[VEHIDCODE],PROPERTIES[IS_CONCEPT])="IS_CONCEPT"</f>
        <v>0</v>
      </c>
      <c r="R543" s="8" t="b">
        <f>_xlfn.XLOOKUP(CONTROL[[#This Row],[VEHIDCODE]],PROPERTIES[VEHIDCODE],PROPERTIES[EXCLUDE])</f>
        <v>0</v>
      </c>
    </row>
    <row r="544" spans="1:18">
      <c r="A544" s="2" t="s">
        <v>3257</v>
      </c>
      <c r="B544" s="26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7" t="s">
        <v>2451</v>
      </c>
      <c r="G544" s="39" t="s">
        <v>3621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6" t="str">
        <f>"item_"&amp;CONTROL[[#This Row],[VEHIDCODE]]</f>
        <v>item_emu_Hitachi_Kawasaki_Shinkansen_Series_E1_Max</v>
      </c>
      <c r="P544" s="26" t="str">
        <f>"str_"&amp;CONTROL[[#This Row],[VEHIDCODE]]</f>
        <v>str_emu_Hitachi_Kawasaki_Shinkansen_Series_E1_Max</v>
      </c>
      <c r="Q544" s="8" t="b">
        <f>_xlfn.XLOOKUP(CONTROL[[#This Row],[VEHIDCODE]],PROPERTIES[VEHIDCODE],PROPERTIES[IS_CONCEPT])="IS_CONCEPT"</f>
        <v>0</v>
      </c>
      <c r="R544" s="8" t="b">
        <f>_xlfn.XLOOKUP(CONTROL[[#This Row],[VEHIDCODE]],PROPERTIES[VEHIDCODE],PROPERTIES[EXCLUDE])</f>
        <v>0</v>
      </c>
    </row>
    <row r="545" spans="1:18">
      <c r="A545" s="2" t="s">
        <v>3258</v>
      </c>
      <c r="B545" s="26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7" t="s">
        <v>2452</v>
      </c>
      <c r="G545" t="s">
        <v>1603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6" t="str">
        <f>"item_"&amp;CONTROL[[#This Row],[VEHIDCODE]]</f>
        <v>item_emu_Alstom_Coradia_Duplex</v>
      </c>
      <c r="P545" s="26" t="str">
        <f>"str_"&amp;CONTROL[[#This Row],[VEHIDCODE]]</f>
        <v>str_emu_Alstom_Coradia_Duplex</v>
      </c>
      <c r="Q545" s="8" t="b">
        <f>_xlfn.XLOOKUP(CONTROL[[#This Row],[VEHIDCODE]],PROPERTIES[VEHIDCODE],PROPERTIES[IS_CONCEPT])="IS_CONCEPT"</f>
        <v>0</v>
      </c>
      <c r="R545" s="8" t="b">
        <f>_xlfn.XLOOKUP(CONTROL[[#This Row],[VEHIDCODE]],PROPERTIES[VEHIDCODE],PROPERTIES[EXCLUDE])</f>
        <v>0</v>
      </c>
    </row>
    <row r="546" spans="1:18">
      <c r="A546" s="2" t="s">
        <v>3259</v>
      </c>
      <c r="B546" s="26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7" t="s">
        <v>2453</v>
      </c>
      <c r="G546" t="s">
        <v>1604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6" t="str">
        <f>"item_"&amp;CONTROL[[#This Row],[VEHIDCODE]]</f>
        <v>item_emu_RVR_ER31</v>
      </c>
      <c r="P546" s="26" t="str">
        <f>"str_"&amp;CONTROL[[#This Row],[VEHIDCODE]]</f>
        <v>str_emu_RVR_ER31</v>
      </c>
      <c r="Q546" s="8" t="b">
        <f>_xlfn.XLOOKUP(CONTROL[[#This Row],[VEHIDCODE]],PROPERTIES[VEHIDCODE],PROPERTIES[IS_CONCEPT])="IS_CONCEPT"</f>
        <v>0</v>
      </c>
      <c r="R546" s="8" t="b">
        <f>_xlfn.XLOOKUP(CONTROL[[#This Row],[VEHIDCODE]],PROPERTIES[VEHIDCODE],PROPERTIES[EXCLUDE])</f>
        <v>0</v>
      </c>
    </row>
    <row r="547" spans="1:18">
      <c r="A547" s="2" t="s">
        <v>3526</v>
      </c>
      <c r="B547" s="26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7" t="s">
        <v>3527</v>
      </c>
      <c r="G547" t="s">
        <v>1605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6" t="str">
        <f>"item_"&amp;CONTROL[[#This Row],[VEHIDCODE]]</f>
        <v>item_emu_Carel_et_Fouche_Alsthom_Z_6100</v>
      </c>
      <c r="P547" s="26" t="str">
        <f>"str_"&amp;CONTROL[[#This Row],[VEHIDCODE]]</f>
        <v>str_emu_Carel_et_Fouche_Alsthom_Z_6100</v>
      </c>
      <c r="Q547" s="8" t="b">
        <f>_xlfn.XLOOKUP(CONTROL[[#This Row],[VEHIDCODE]],PROPERTIES[VEHIDCODE],PROPERTIES[IS_CONCEPT])="IS_CONCEPT"</f>
        <v>0</v>
      </c>
      <c r="R547" s="8" t="b">
        <f>_xlfn.XLOOKUP(CONTROL[[#This Row],[VEHIDCODE]],PROPERTIES[VEHIDCODE],PROPERTIES[EXCLUDE])</f>
        <v>0</v>
      </c>
    </row>
    <row r="548" spans="1:18">
      <c r="A548" s="2" t="s">
        <v>3260</v>
      </c>
      <c r="B548" s="26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7" t="s">
        <v>2454</v>
      </c>
      <c r="G548" t="s">
        <v>1606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6" t="str">
        <f>"item_"&amp;CONTROL[[#This Row],[VEHIDCODE]]</f>
        <v>item_emu_Bombardier_UCW_Electrostar_Gautrain</v>
      </c>
      <c r="P548" s="26" t="str">
        <f>"str_"&amp;CONTROL[[#This Row],[VEHIDCODE]]</f>
        <v>str_emu_Bombardier_UCW_Electrostar_Gautrain</v>
      </c>
      <c r="Q548" s="8" t="b">
        <f>_xlfn.XLOOKUP(CONTROL[[#This Row],[VEHIDCODE]],PROPERTIES[VEHIDCODE],PROPERTIES[IS_CONCEPT])="IS_CONCEPT"</f>
        <v>0</v>
      </c>
      <c r="R548" s="8" t="b">
        <f>_xlfn.XLOOKUP(CONTROL[[#This Row],[VEHIDCODE]],PROPERTIES[VEHIDCODE],PROPERTIES[EXCLUDE])</f>
        <v>0</v>
      </c>
    </row>
    <row r="549" spans="1:18">
      <c r="A549" s="2" t="s">
        <v>3261</v>
      </c>
      <c r="B549" s="26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7" t="s">
        <v>2633</v>
      </c>
      <c r="G549" t="s">
        <v>1607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6" t="str">
        <f>"item_"&amp;CONTROL[[#This Row],[VEHIDCODE]]</f>
        <v>item_emu_Alsthom_Jeumont_TCDD_E8000</v>
      </c>
      <c r="P549" s="26" t="str">
        <f>"str_"&amp;CONTROL[[#This Row],[VEHIDCODE]]</f>
        <v>str_emu_Alsthom_Jeumont_TCDD_E8000</v>
      </c>
      <c r="Q549" s="8" t="b">
        <f>_xlfn.XLOOKUP(CONTROL[[#This Row],[VEHIDCODE]],PROPERTIES[VEHIDCODE],PROPERTIES[IS_CONCEPT])="IS_CONCEPT"</f>
        <v>0</v>
      </c>
      <c r="R549" s="8" t="b">
        <f>_xlfn.XLOOKUP(CONTROL[[#This Row],[VEHIDCODE]],PROPERTIES[VEHIDCODE],PROPERTIES[EXCLUDE])</f>
        <v>0</v>
      </c>
    </row>
    <row r="550" spans="1:18">
      <c r="A550" s="2" t="s">
        <v>3262</v>
      </c>
      <c r="B550" s="26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7" t="s">
        <v>2455</v>
      </c>
      <c r="G550" t="s">
        <v>1608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6" t="str">
        <f>"item_"&amp;CONTROL[[#This Row],[VEHIDCODE]]</f>
        <v>item_emu_CSR_Qingdao_CHR380A</v>
      </c>
      <c r="P550" s="26" t="str">
        <f>"str_"&amp;CONTROL[[#This Row],[VEHIDCODE]]</f>
        <v>str_emu_CSR_Qingdao_CHR380A</v>
      </c>
      <c r="Q550" s="8" t="b">
        <f>_xlfn.XLOOKUP(CONTROL[[#This Row],[VEHIDCODE]],PROPERTIES[VEHIDCODE],PROPERTIES[IS_CONCEPT])="IS_CONCEPT"</f>
        <v>0</v>
      </c>
      <c r="R550" s="8" t="b">
        <f>_xlfn.XLOOKUP(CONTROL[[#This Row],[VEHIDCODE]],PROPERTIES[VEHIDCODE],PROPERTIES[EXCLUDE])</f>
        <v>0</v>
      </c>
    </row>
    <row r="551" spans="1:18">
      <c r="A551" s="2" t="s">
        <v>3263</v>
      </c>
      <c r="B551" s="26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7" t="s">
        <v>411</v>
      </c>
      <c r="G551" t="s">
        <v>1609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6" t="str">
        <f>"item_"&amp;CONTROL[[#This Row],[VEHIDCODE]]</f>
        <v>item_emu_PRR_MP54</v>
      </c>
      <c r="P551" s="26" t="str">
        <f>"str_"&amp;CONTROL[[#This Row],[VEHIDCODE]]</f>
        <v>str_emu_PRR_MP54</v>
      </c>
      <c r="Q551" s="8" t="b">
        <f>_xlfn.XLOOKUP(CONTROL[[#This Row],[VEHIDCODE]],PROPERTIES[VEHIDCODE],PROPERTIES[IS_CONCEPT])="IS_CONCEPT"</f>
        <v>0</v>
      </c>
      <c r="R551" s="8" t="b">
        <f>_xlfn.XLOOKUP(CONTROL[[#This Row],[VEHIDCODE]],PROPERTIES[VEHIDCODE],PROPERTIES[EXCLUDE])</f>
        <v>1</v>
      </c>
    </row>
    <row r="552" spans="1:18">
      <c r="A552" s="2" t="s">
        <v>3264</v>
      </c>
      <c r="B552" s="26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7" t="s">
        <v>2456</v>
      </c>
      <c r="G552" t="s">
        <v>1610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6" t="str">
        <f>"item_"&amp;CONTROL[[#This Row],[VEHIDCODE]]</f>
        <v>item_emu_Alstom_AGV</v>
      </c>
      <c r="P552" s="26" t="str">
        <f>"str_"&amp;CONTROL[[#This Row],[VEHIDCODE]]</f>
        <v>str_emu_Alstom_AGV</v>
      </c>
      <c r="Q552" s="8" t="b">
        <f>_xlfn.XLOOKUP(CONTROL[[#This Row],[VEHIDCODE]],PROPERTIES[VEHIDCODE],PROPERTIES[IS_CONCEPT])="IS_CONCEPT"</f>
        <v>0</v>
      </c>
      <c r="R552" s="8" t="b">
        <f>_xlfn.XLOOKUP(CONTROL[[#This Row],[VEHIDCODE]],PROPERTIES[VEHIDCODE],PROPERTIES[EXCLUDE])</f>
        <v>0</v>
      </c>
    </row>
    <row r="553" spans="1:18">
      <c r="A553" s="2" t="s">
        <v>3265</v>
      </c>
      <c r="B553" s="26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7" t="s">
        <v>2457</v>
      </c>
      <c r="G553" t="s">
        <v>1611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6" t="str">
        <f>"item_"&amp;CONTROL[[#This Row],[VEHIDCODE]]</f>
        <v>item_emu_Alstom_Avelia_Horizon</v>
      </c>
      <c r="P553" s="26" t="str">
        <f>"str_"&amp;CONTROL[[#This Row],[VEHIDCODE]]</f>
        <v>str_emu_Alstom_Avelia_Horizon</v>
      </c>
      <c r="Q553" s="8" t="b">
        <f>_xlfn.XLOOKUP(CONTROL[[#This Row],[VEHIDCODE]],PROPERTIES[VEHIDCODE],PROPERTIES[IS_CONCEPT])="IS_CONCEPT"</f>
        <v>1</v>
      </c>
      <c r="R553" s="8" t="b">
        <f>_xlfn.XLOOKUP(CONTROL[[#This Row],[VEHIDCODE]],PROPERTIES[VEHIDCODE],PROPERTIES[EXCLUDE])</f>
        <v>0</v>
      </c>
    </row>
    <row r="554" spans="1:18">
      <c r="A554" s="2" t="s">
        <v>3266</v>
      </c>
      <c r="B554" s="26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7" t="s">
        <v>2458</v>
      </c>
      <c r="G554" t="s">
        <v>1612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6" t="str">
        <f>"item_"&amp;CONTROL[[#This Row],[VEHIDCODE]]</f>
        <v>item_emu_AnsaldoBreda_V250_Albatros</v>
      </c>
      <c r="P554" s="26" t="str">
        <f>"str_"&amp;CONTROL[[#This Row],[VEHIDCODE]]</f>
        <v>str_emu_AnsaldoBreda_V250_Albatros</v>
      </c>
      <c r="Q554" s="8" t="b">
        <f>_xlfn.XLOOKUP(CONTROL[[#This Row],[VEHIDCODE]],PROPERTIES[VEHIDCODE],PROPERTIES[IS_CONCEPT])="IS_CONCEPT"</f>
        <v>0</v>
      </c>
      <c r="R554" s="8" t="b">
        <f>_xlfn.XLOOKUP(CONTROL[[#This Row],[VEHIDCODE]],PROPERTIES[VEHIDCODE],PROPERTIES[EXCLUDE])</f>
        <v>0</v>
      </c>
    </row>
    <row r="555" spans="1:18">
      <c r="A555" s="2" t="s">
        <v>3267</v>
      </c>
      <c r="B555" s="26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7" t="s">
        <v>1615</v>
      </c>
      <c r="G555" t="s">
        <v>561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6" t="str">
        <f>"item_"&amp;CONTROL[[#This Row],[VEHIDCODE]]</f>
        <v>item_emu_NS_4800_HSA_Fyra</v>
      </c>
      <c r="P555" s="26" t="str">
        <f>"str_"&amp;CONTROL[[#This Row],[VEHIDCODE]]</f>
        <v>str_emu_NS_4800_HSA_Fyra</v>
      </c>
      <c r="Q555" s="8" t="b">
        <f>_xlfn.XLOOKUP(CONTROL[[#This Row],[VEHIDCODE]],PROPERTIES[VEHIDCODE],PROPERTIES[IS_CONCEPT])="IS_CONCEPT"</f>
        <v>1</v>
      </c>
      <c r="R555" s="8" t="b">
        <f>_xlfn.XLOOKUP(CONTROL[[#This Row],[VEHIDCODE]],PROPERTIES[VEHIDCODE],PROPERTIES[EXCLUDE])</f>
        <v>0</v>
      </c>
    </row>
    <row r="556" spans="1:18">
      <c r="A556" s="2" t="s">
        <v>3268</v>
      </c>
      <c r="B556" s="26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7" t="s">
        <v>2459</v>
      </c>
      <c r="G556" t="s">
        <v>1613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6" t="str">
        <f>"item_"&amp;CONTROL[[#This Row],[VEHIDCODE]]</f>
        <v>item_emu_SIG_Rae_TEE_II</v>
      </c>
      <c r="P556" s="26" t="str">
        <f>"str_"&amp;CONTROL[[#This Row],[VEHIDCODE]]</f>
        <v>str_emu_SIG_Rae_TEE_II</v>
      </c>
      <c r="Q556" s="8" t="b">
        <f>_xlfn.XLOOKUP(CONTROL[[#This Row],[VEHIDCODE]],PROPERTIES[VEHIDCODE],PROPERTIES[IS_CONCEPT])="IS_CONCEPT"</f>
        <v>0</v>
      </c>
      <c r="R556" s="8" t="b">
        <f>_xlfn.XLOOKUP(CONTROL[[#This Row],[VEHIDCODE]],PROPERTIES[VEHIDCODE],PROPERTIES[EXCLUDE])</f>
        <v>0</v>
      </c>
    </row>
    <row r="557" spans="1:18">
      <c r="A557" s="2" t="s">
        <v>3269</v>
      </c>
      <c r="B557" s="26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7" t="s">
        <v>2642</v>
      </c>
      <c r="G557" t="s">
        <v>1614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6" t="str">
        <f>"item_"&amp;CONTROL[[#This Row],[VEHIDCODE]]</f>
        <v>item_emu_Pullman_Erie_Lackawanna_2500_Series</v>
      </c>
      <c r="P557" s="26" t="str">
        <f>"str_"&amp;CONTROL[[#This Row],[VEHIDCODE]]</f>
        <v>str_emu_Pullman_Erie_Lackawanna_2500_Series</v>
      </c>
      <c r="Q557" s="8" t="b">
        <f>_xlfn.XLOOKUP(CONTROL[[#This Row],[VEHIDCODE]],PROPERTIES[VEHIDCODE],PROPERTIES[IS_CONCEPT])="IS_CONCEPT"</f>
        <v>0</v>
      </c>
      <c r="R557" s="8" t="b">
        <f>_xlfn.XLOOKUP(CONTROL[[#This Row],[VEHIDCODE]],PROPERTIES[VEHIDCODE],PROPERTIES[EXCLUDE])</f>
        <v>0</v>
      </c>
    </row>
    <row r="558" spans="1:18">
      <c r="A558" s="2" t="s">
        <v>3270</v>
      </c>
      <c r="B558" s="26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7" t="s">
        <v>2634</v>
      </c>
      <c r="G558" t="s">
        <v>1616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6" t="str">
        <f>"item_"&amp;CONTROL[[#This Row],[VEHIDCODE]]</f>
        <v>item_emu_Alsthom_TGV_23000</v>
      </c>
      <c r="P558" s="26" t="str">
        <f>"str_"&amp;CONTROL[[#This Row],[VEHIDCODE]]</f>
        <v>str_emu_Alsthom_TGV_23000</v>
      </c>
      <c r="Q558" s="8" t="b">
        <f>_xlfn.XLOOKUP(CONTROL[[#This Row],[VEHIDCODE]],PROPERTIES[VEHIDCODE],PROPERTIES[IS_CONCEPT])="IS_CONCEPT"</f>
        <v>0</v>
      </c>
      <c r="R558" s="8" t="b">
        <f>_xlfn.XLOOKUP(CONTROL[[#This Row],[VEHIDCODE]],PROPERTIES[VEHIDCODE],PROPERTIES[EXCLUDE])</f>
        <v>0</v>
      </c>
    </row>
    <row r="559" spans="1:18">
      <c r="A559" s="2" t="s">
        <v>3271</v>
      </c>
      <c r="B559" s="26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7" t="s">
        <v>2635</v>
      </c>
      <c r="G559" t="s">
        <v>1617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6" t="str">
        <f>"item_"&amp;CONTROL[[#This Row],[VEHIDCODE]]</f>
        <v>item_emu_Alsthom_TGV_Duplex</v>
      </c>
      <c r="P559" s="26" t="str">
        <f>"str_"&amp;CONTROL[[#This Row],[VEHIDCODE]]</f>
        <v>str_emu_Alsthom_TGV_Duplex</v>
      </c>
      <c r="Q559" s="8" t="b">
        <f>_xlfn.XLOOKUP(CONTROL[[#This Row],[VEHIDCODE]],PROPERTIES[VEHIDCODE],PROPERTIES[IS_CONCEPT])="IS_CONCEPT"</f>
        <v>0</v>
      </c>
      <c r="R559" s="8" t="b">
        <f>_xlfn.XLOOKUP(CONTROL[[#This Row],[VEHIDCODE]],PROPERTIES[VEHIDCODE],PROPERTIES[EXCLUDE])</f>
        <v>0</v>
      </c>
    </row>
    <row r="560" spans="1:18">
      <c r="A560" s="2" t="s">
        <v>3272</v>
      </c>
      <c r="B560" s="26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7" t="s">
        <v>2636</v>
      </c>
      <c r="G560" t="s">
        <v>1618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6" t="str">
        <f>"item_"&amp;CONTROL[[#This Row],[VEHIDCODE]]</f>
        <v>item_emu_GEC_Alsthom_Thalys_PBKA</v>
      </c>
      <c r="P560" s="26" t="str">
        <f>"str_"&amp;CONTROL[[#This Row],[VEHIDCODE]]</f>
        <v>str_emu_GEC_Alsthom_Thalys_PBKA</v>
      </c>
      <c r="Q560" s="8" t="b">
        <f>_xlfn.XLOOKUP(CONTROL[[#This Row],[VEHIDCODE]],PROPERTIES[VEHIDCODE],PROPERTIES[IS_CONCEPT])="IS_CONCEPT"</f>
        <v>0</v>
      </c>
      <c r="R560" s="8" t="b">
        <f>_xlfn.XLOOKUP(CONTROL[[#This Row],[VEHIDCODE]],PROPERTIES[VEHIDCODE],PROPERTIES[EXCLUDE])</f>
        <v>0</v>
      </c>
    </row>
    <row r="561" spans="1:18">
      <c r="A561" s="2" t="s">
        <v>3273</v>
      </c>
      <c r="B561" s="26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7" t="s">
        <v>2637</v>
      </c>
      <c r="G561" t="s">
        <v>1619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6" t="str">
        <f>"item_"&amp;CONTROL[[#This Row],[VEHIDCODE]]</f>
        <v>item_emu_Alsthom_Pendolino_680</v>
      </c>
      <c r="P561" s="26" t="str">
        <f>"str_"&amp;CONTROL[[#This Row],[VEHIDCODE]]</f>
        <v>str_emu_Alsthom_Pendolino_680</v>
      </c>
      <c r="Q561" s="8" t="b">
        <f>_xlfn.XLOOKUP(CONTROL[[#This Row],[VEHIDCODE]],PROPERTIES[VEHIDCODE],PROPERTIES[IS_CONCEPT])="IS_CONCEPT"</f>
        <v>0</v>
      </c>
      <c r="R561" s="8" t="b">
        <f>_xlfn.XLOOKUP(CONTROL[[#This Row],[VEHIDCODE]],PROPERTIES[VEHIDCODE],PROPERTIES[EXCLUDE])</f>
        <v>0</v>
      </c>
    </row>
    <row r="562" spans="1:18">
      <c r="A562" s="2" t="s">
        <v>3274</v>
      </c>
      <c r="B562" s="26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7" t="s">
        <v>2460</v>
      </c>
      <c r="G562" t="s">
        <v>1620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6" t="str">
        <f>"item_"&amp;CONTROL[[#This Row],[VEHIDCODE]]</f>
        <v>item_emu_CAF_Alstom_Class_120</v>
      </c>
      <c r="P562" s="26" t="str">
        <f>"str_"&amp;CONTROL[[#This Row],[VEHIDCODE]]</f>
        <v>str_emu_CAF_Alstom_Class_120</v>
      </c>
      <c r="Q562" s="8" t="b">
        <f>_xlfn.XLOOKUP(CONTROL[[#This Row],[VEHIDCODE]],PROPERTIES[VEHIDCODE],PROPERTIES[IS_CONCEPT])="IS_CONCEPT"</f>
        <v>0</v>
      </c>
      <c r="R562" s="8" t="b">
        <f>_xlfn.XLOOKUP(CONTROL[[#This Row],[VEHIDCODE]],PROPERTIES[VEHIDCODE],PROPERTIES[EXCLUDE])</f>
        <v>0</v>
      </c>
    </row>
    <row r="563" spans="1:18">
      <c r="A563" s="2" t="s">
        <v>3275</v>
      </c>
      <c r="B563" s="26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7" t="s">
        <v>2468</v>
      </c>
      <c r="G563" t="s">
        <v>1621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6" t="str">
        <f>"item_"&amp;CONTROL[[#This Row],[VEHIDCODE]]</f>
        <v>item_emu_Bombarier_Alstom_Acela_Express</v>
      </c>
      <c r="P563" s="26" t="str">
        <f>"str_"&amp;CONTROL[[#This Row],[VEHIDCODE]]</f>
        <v>str_emu_Bombarier_Alstom_Acela_Express</v>
      </c>
      <c r="Q563" s="8" t="b">
        <f>_xlfn.XLOOKUP(CONTROL[[#This Row],[VEHIDCODE]],PROPERTIES[VEHIDCODE],PROPERTIES[IS_CONCEPT])="IS_CONCEPT"</f>
        <v>0</v>
      </c>
      <c r="R563" s="8" t="b">
        <f>_xlfn.XLOOKUP(CONTROL[[#This Row],[VEHIDCODE]],PROPERTIES[VEHIDCODE],PROPERTIES[EXCLUDE])</f>
        <v>0</v>
      </c>
    </row>
    <row r="564" spans="1:18">
      <c r="A564" s="2" t="s">
        <v>3276</v>
      </c>
      <c r="B564" s="26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7" t="s">
        <v>1711</v>
      </c>
      <c r="G564" t="s">
        <v>1683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6" t="str">
        <f>"item_"&amp;CONTROL[[#This Row],[VEHIDCODE]]</f>
        <v>item_singlemtro_Brooklyn_Union_Gate_1300</v>
      </c>
      <c r="P564" s="26" t="str">
        <f>"str_"&amp;CONTROL[[#This Row],[VEHIDCODE]]</f>
        <v>str_singlemtro_Brooklyn_Union_Gate_1300</v>
      </c>
      <c r="Q564" s="8" t="b">
        <f>_xlfn.XLOOKUP(CONTROL[[#This Row],[VEHIDCODE]],PROPERTIES[VEHIDCODE],PROPERTIES[IS_CONCEPT])="IS_CONCEPT"</f>
        <v>0</v>
      </c>
      <c r="R564" s="8" t="b">
        <f>_xlfn.XLOOKUP(CONTROL[[#This Row],[VEHIDCODE]],PROPERTIES[VEHIDCODE],PROPERTIES[EXCLUDE])</f>
        <v>0</v>
      </c>
    </row>
    <row r="565" spans="1:18">
      <c r="A565" s="2" t="s">
        <v>3277</v>
      </c>
      <c r="B565" s="26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7" t="s">
        <v>2469</v>
      </c>
      <c r="G565" t="s">
        <v>1684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6" t="str">
        <f>"item_"&amp;CONTROL[[#This Row],[VEHIDCODE]]</f>
        <v>item_singlemtro_Siemens___Halske_Budapest_1894_Stock</v>
      </c>
      <c r="P565" s="26" t="str">
        <f>"str_"&amp;CONTROL[[#This Row],[VEHIDCODE]]</f>
        <v>str_singlemtro_Siemens___Halske_Budapest_1894_Stock</v>
      </c>
      <c r="Q565" s="8" t="b">
        <f>_xlfn.XLOOKUP(CONTROL[[#This Row],[VEHIDCODE]],PROPERTIES[VEHIDCODE],PROPERTIES[IS_CONCEPT])="IS_CONCEPT"</f>
        <v>0</v>
      </c>
      <c r="R565" s="8" t="b">
        <f>_xlfn.XLOOKUP(CONTROL[[#This Row],[VEHIDCODE]],PROPERTIES[VEHIDCODE],PROPERTIES[EXCLUDE])</f>
        <v>0</v>
      </c>
    </row>
    <row r="566" spans="1:18">
      <c r="A566" s="2" t="s">
        <v>3278</v>
      </c>
      <c r="B566" s="26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7" t="s">
        <v>412</v>
      </c>
      <c r="G566" t="s">
        <v>1685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6" t="str">
        <f>"item_"&amp;CONTROL[[#This Row],[VEHIDCODE]]</f>
        <v>item_singlemtro_Chicago_L_Northwest_Elevated_1907_Stock</v>
      </c>
      <c r="P566" s="26" t="str">
        <f>"str_"&amp;CONTROL[[#This Row],[VEHIDCODE]]</f>
        <v>str_singlemtro_Chicago_L_Northwest_Elevated_1907_Stock</v>
      </c>
      <c r="Q566" s="8" t="b">
        <f>_xlfn.XLOOKUP(CONTROL[[#This Row],[VEHIDCODE]],PROPERTIES[VEHIDCODE],PROPERTIES[IS_CONCEPT])="IS_CONCEPT"</f>
        <v>0</v>
      </c>
      <c r="R566" s="8" t="b">
        <f>_xlfn.XLOOKUP(CONTROL[[#This Row],[VEHIDCODE]],PROPERTIES[VEHIDCODE],PROPERTIES[EXCLUDE])</f>
        <v>0</v>
      </c>
    </row>
    <row r="567" spans="1:18">
      <c r="A567" s="2" t="s">
        <v>3279</v>
      </c>
      <c r="B567" s="26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7" t="s">
        <v>413</v>
      </c>
      <c r="G567" t="s">
        <v>1686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6" t="str">
        <f>"item_"&amp;CONTROL[[#This Row],[VEHIDCODE]]</f>
        <v>item_singlemtro_Berlin_U_Bahn_C_II</v>
      </c>
      <c r="P567" s="26" t="str">
        <f>"str_"&amp;CONTROL[[#This Row],[VEHIDCODE]]</f>
        <v>str_singlemtro_Berlin_U_Bahn_C_II</v>
      </c>
      <c r="Q567" s="8" t="b">
        <f>_xlfn.XLOOKUP(CONTROL[[#This Row],[VEHIDCODE]],PROPERTIES[VEHIDCODE],PROPERTIES[IS_CONCEPT])="IS_CONCEPT"</f>
        <v>0</v>
      </c>
      <c r="R567" s="8" t="b">
        <f>_xlfn.XLOOKUP(CONTROL[[#This Row],[VEHIDCODE]],PROPERTIES[VEHIDCODE],PROPERTIES[EXCLUDE])</f>
        <v>0</v>
      </c>
    </row>
    <row r="568" spans="1:18">
      <c r="A568" s="2" t="s">
        <v>3280</v>
      </c>
      <c r="B568" s="26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7" t="s">
        <v>2657</v>
      </c>
      <c r="G568" t="s">
        <v>561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6" t="str">
        <f>"item_"&amp;CONTROL[[#This Row],[VEHIDCODE]]</f>
        <v>item_rbm_ACME_Corp__Turbobus</v>
      </c>
      <c r="P568" s="26" t="str">
        <f>"str_"&amp;CONTROL[[#This Row],[VEHIDCODE]]</f>
        <v>str_rbm_ACME_Corp__Turbobus</v>
      </c>
      <c r="Q568" s="8" t="b">
        <f>_xlfn.XLOOKUP(CONTROL[[#This Row],[VEHIDCODE]],PROPERTIES[VEHIDCODE],PROPERTIES[IS_CONCEPT])="IS_CONCEPT"</f>
        <v>1</v>
      </c>
      <c r="R568" s="8" t="b">
        <f>_xlfn.XLOOKUP(CONTROL[[#This Row],[VEHIDCODE]],PROPERTIES[VEHIDCODE],PROPERTIES[EXCLUDE])</f>
        <v>0</v>
      </c>
    </row>
    <row r="569" spans="1:18">
      <c r="A569" s="2" t="s">
        <v>3281</v>
      </c>
      <c r="B569" s="26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7" t="s">
        <v>3568</v>
      </c>
      <c r="G569" t="s">
        <v>561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6" t="str">
        <f>"item_"&amp;CONTROL[[#This Row],[VEHIDCODE]]</f>
        <v>item_mglv_Siemens_Eurosprinter_ES64U4M</v>
      </c>
      <c r="P569" s="26" t="str">
        <f>"str_"&amp;CONTROL[[#This Row],[VEHIDCODE]]</f>
        <v>str_mglv_Siemens_Eurosprinter_ES64U4M</v>
      </c>
      <c r="Q569" s="8" t="b">
        <f>_xlfn.XLOOKUP(CONTROL[[#This Row],[VEHIDCODE]],PROPERTIES[VEHIDCODE],PROPERTIES[IS_CONCEPT])="IS_CONCEPT"</f>
        <v>1</v>
      </c>
      <c r="R569" s="8" t="b">
        <f>_xlfn.XLOOKUP(CONTROL[[#This Row],[VEHIDCODE]],PROPERTIES[VEHIDCODE],PROPERTIES[EXCLUDE])</f>
        <v>0</v>
      </c>
    </row>
    <row r="570" spans="1:18">
      <c r="A570" s="2" t="s">
        <v>3282</v>
      </c>
      <c r="B570" s="26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7" t="s">
        <v>2470</v>
      </c>
      <c r="G570" t="s">
        <v>1622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6" t="str">
        <f>"item_"&amp;CONTROL[[#This Row],[VEHIDCODE]]</f>
        <v>item_mmu_Siemens_Thyssenkrupp_Transrapid</v>
      </c>
      <c r="P570" s="26" t="str">
        <f>"str_"&amp;CONTROL[[#This Row],[VEHIDCODE]]</f>
        <v>str_mmu_Siemens_Thyssenkrupp_Transrapid</v>
      </c>
      <c r="Q570" s="8" t="b">
        <f>_xlfn.XLOOKUP(CONTROL[[#This Row],[VEHIDCODE]],PROPERTIES[VEHIDCODE],PROPERTIES[IS_CONCEPT])="IS_CONCEPT"</f>
        <v>0</v>
      </c>
      <c r="R570" s="8" t="b">
        <f>_xlfn.XLOOKUP(CONTROL[[#This Row],[VEHIDCODE]],PROPERTIES[VEHIDCODE],PROPERTIES[EXCLUDE])</f>
        <v>0</v>
      </c>
    </row>
    <row r="571" spans="1:18">
      <c r="A571" s="2" t="s">
        <v>3283</v>
      </c>
      <c r="B571" s="26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7" t="s">
        <v>2471</v>
      </c>
      <c r="G571" t="s">
        <v>1623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6" t="str">
        <f>"item_"&amp;CONTROL[[#This Row],[VEHIDCODE]]</f>
        <v>item_mmu_Mistubishi_Nippon_Sharyo_MLX01_901</v>
      </c>
      <c r="P571" s="26" t="str">
        <f>"str_"&amp;CONTROL[[#This Row],[VEHIDCODE]]</f>
        <v>str_mmu_Mistubishi_Nippon_Sharyo_MLX01_901</v>
      </c>
      <c r="Q571" s="8" t="b">
        <f>_xlfn.XLOOKUP(CONTROL[[#This Row],[VEHIDCODE]],PROPERTIES[VEHIDCODE],PROPERTIES[IS_CONCEPT])="IS_CONCEPT"</f>
        <v>1</v>
      </c>
      <c r="R571" s="8" t="b">
        <f>_xlfn.XLOOKUP(CONTROL[[#This Row],[VEHIDCODE]],PROPERTIES[VEHIDCODE],PROPERTIES[EXCLUDE])</f>
        <v>0</v>
      </c>
    </row>
    <row r="572" spans="1:18">
      <c r="A572" s="2" t="s">
        <v>236</v>
      </c>
      <c r="B572" s="26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7" t="s">
        <v>1720</v>
      </c>
      <c r="G572" t="s">
        <v>561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6" t="str">
        <f>"item_"&amp;CONTROL[[#This Row],[VEHIDCODE]]</f>
        <v>item_mglv_Wagon_Gen7M_Boxcar_Type1</v>
      </c>
      <c r="P572" s="26" t="str">
        <f>"str_"&amp;CONTROL[[#This Row],[VEHIDCODE]]</f>
        <v>str_mglv_Wagon_Gen7M_Boxcar_Type1</v>
      </c>
      <c r="Q572" s="8" t="b">
        <f>_xlfn.XLOOKUP(CONTROL[[#This Row],[VEHIDCODE]],PROPERTIES[VEHIDCODE],PROPERTIES[IS_CONCEPT])="IS_CONCEPT"</f>
        <v>1</v>
      </c>
      <c r="R572" s="8" t="b">
        <f>_xlfn.XLOOKUP(CONTROL[[#This Row],[VEHIDCODE]],PROPERTIES[VEHIDCODE],PROPERTIES[EXCLUDE])</f>
        <v>0</v>
      </c>
    </row>
    <row r="573" spans="1:18">
      <c r="A573" s="2" t="s">
        <v>220</v>
      </c>
      <c r="B573" s="26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7" t="s">
        <v>1735</v>
      </c>
      <c r="G573" t="s">
        <v>561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6" t="str">
        <f>"item_"&amp;CONTROL[[#This Row],[VEHIDCODE]]</f>
        <v>item_mglv_Wagon_Gen7M_Boxcar_Type2</v>
      </c>
      <c r="P573" s="26" t="str">
        <f>"str_"&amp;CONTROL[[#This Row],[VEHIDCODE]]</f>
        <v>str_mglv_Wagon_Gen7M_Boxcar_Type2</v>
      </c>
      <c r="Q573" s="8" t="b">
        <f>_xlfn.XLOOKUP(CONTROL[[#This Row],[VEHIDCODE]],PROPERTIES[VEHIDCODE],PROPERTIES[IS_CONCEPT])="IS_CONCEPT"</f>
        <v>1</v>
      </c>
      <c r="R573" s="8" t="b">
        <f>_xlfn.XLOOKUP(CONTROL[[#This Row],[VEHIDCODE]],PROPERTIES[VEHIDCODE],PROPERTIES[EXCLUDE])</f>
        <v>0</v>
      </c>
    </row>
    <row r="574" spans="1:18">
      <c r="A574" s="2" t="s">
        <v>221</v>
      </c>
      <c r="B574" s="26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7" t="s">
        <v>414</v>
      </c>
      <c r="G574" t="s">
        <v>561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6" t="str">
        <f>"item_"&amp;CONTROL[[#This Row],[VEHIDCODE]]</f>
        <v>item_mglv_Wagon_Gen7M_Car_Transporter</v>
      </c>
      <c r="P574" s="26" t="str">
        <f>"str_"&amp;CONTROL[[#This Row],[VEHIDCODE]]</f>
        <v>str_mglv_Wagon_Gen7M_Car_Transporter</v>
      </c>
      <c r="Q574" s="8" t="b">
        <f>_xlfn.XLOOKUP(CONTROL[[#This Row],[VEHIDCODE]],PROPERTIES[VEHIDCODE],PROPERTIES[IS_CONCEPT])="IS_CONCEPT"</f>
        <v>1</v>
      </c>
      <c r="R574" s="8" t="b">
        <f>_xlfn.XLOOKUP(CONTROL[[#This Row],[VEHIDCODE]],PROPERTIES[VEHIDCODE],PROPERTIES[EXCLUDE])</f>
        <v>0</v>
      </c>
    </row>
    <row r="575" spans="1:18">
      <c r="A575" s="2" t="s">
        <v>222</v>
      </c>
      <c r="B575" s="26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7" t="s">
        <v>415</v>
      </c>
      <c r="G575" t="s">
        <v>561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6" t="str">
        <f>"item_"&amp;CONTROL[[#This Row],[VEHIDCODE]]</f>
        <v>item_mglv_Wagon_Gen7M_Centerbeam</v>
      </c>
      <c r="P575" s="26" t="str">
        <f>"str_"&amp;CONTROL[[#This Row],[VEHIDCODE]]</f>
        <v>str_mglv_Wagon_Gen7M_Centerbeam</v>
      </c>
      <c r="Q575" s="8" t="b">
        <f>_xlfn.XLOOKUP(CONTROL[[#This Row],[VEHIDCODE]],PROPERTIES[VEHIDCODE],PROPERTIES[IS_CONCEPT])="IS_CONCEPT"</f>
        <v>1</v>
      </c>
      <c r="R575" s="8" t="b">
        <f>_xlfn.XLOOKUP(CONTROL[[#This Row],[VEHIDCODE]],PROPERTIES[VEHIDCODE],PROPERTIES[EXCLUDE])</f>
        <v>0</v>
      </c>
    </row>
    <row r="576" spans="1:18">
      <c r="A576" s="2" t="s">
        <v>223</v>
      </c>
      <c r="B576" s="26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7" t="s">
        <v>416</v>
      </c>
      <c r="G576" t="s">
        <v>561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6" t="str">
        <f>"item_"&amp;CONTROL[[#This Row],[VEHIDCODE]]</f>
        <v>item_mglv_Wagon_Gen7M_Container_Carrier</v>
      </c>
      <c r="P576" s="26" t="str">
        <f>"str_"&amp;CONTROL[[#This Row],[VEHIDCODE]]</f>
        <v>str_mglv_Wagon_Gen7M_Container_Carrier</v>
      </c>
      <c r="Q576" s="8" t="b">
        <f>_xlfn.XLOOKUP(CONTROL[[#This Row],[VEHIDCODE]],PROPERTIES[VEHIDCODE],PROPERTIES[IS_CONCEPT])="IS_CONCEPT"</f>
        <v>1</v>
      </c>
      <c r="R576" s="8" t="b">
        <f>_xlfn.XLOOKUP(CONTROL[[#This Row],[VEHIDCODE]],PROPERTIES[VEHIDCODE],PROPERTIES[EXCLUDE])</f>
        <v>0</v>
      </c>
    </row>
    <row r="577" spans="1:18">
      <c r="A577" s="2" t="s">
        <v>224</v>
      </c>
      <c r="B577" s="26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7" t="s">
        <v>417</v>
      </c>
      <c r="G577" t="s">
        <v>561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6" t="str">
        <f>"item_"&amp;CONTROL[[#This Row],[VEHIDCODE]]</f>
        <v>item_mglv_Wagon_Gen7M_Container_Doublestack</v>
      </c>
      <c r="P577" s="26" t="str">
        <f>"str_"&amp;CONTROL[[#This Row],[VEHIDCODE]]</f>
        <v>str_mglv_Wagon_Gen7M_Container_Doublestack</v>
      </c>
      <c r="Q577" s="8" t="b">
        <f>_xlfn.XLOOKUP(CONTROL[[#This Row],[VEHIDCODE]],PROPERTIES[VEHIDCODE],PROPERTIES[IS_CONCEPT])="IS_CONCEPT"</f>
        <v>1</v>
      </c>
      <c r="R577" s="8" t="b">
        <f>_xlfn.XLOOKUP(CONTROL[[#This Row],[VEHIDCODE]],PROPERTIES[VEHIDCODE],PROPERTIES[EXCLUDE])</f>
        <v>0</v>
      </c>
    </row>
    <row r="578" spans="1:18">
      <c r="A578" s="2" t="s">
        <v>225</v>
      </c>
      <c r="B578" s="26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7" t="s">
        <v>418</v>
      </c>
      <c r="G578" t="s">
        <v>561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6" t="str">
        <f>"item_"&amp;CONTROL[[#This Row],[VEHIDCODE]]</f>
        <v>item_mglv_Wagon_Gen7M_Flatcar</v>
      </c>
      <c r="P578" s="26" t="str">
        <f>"str_"&amp;CONTROL[[#This Row],[VEHIDCODE]]</f>
        <v>str_mglv_Wagon_Gen7M_Flatcar</v>
      </c>
      <c r="Q578" s="8" t="b">
        <f>_xlfn.XLOOKUP(CONTROL[[#This Row],[VEHIDCODE]],PROPERTIES[VEHIDCODE],PROPERTIES[IS_CONCEPT])="IS_CONCEPT"</f>
        <v>1</v>
      </c>
      <c r="R578" s="8" t="b">
        <f>_xlfn.XLOOKUP(CONTROL[[#This Row],[VEHIDCODE]],PROPERTIES[VEHIDCODE],PROPERTIES[EXCLUDE])</f>
        <v>0</v>
      </c>
    </row>
    <row r="579" spans="1:18">
      <c r="A579" s="2" t="s">
        <v>226</v>
      </c>
      <c r="B579" s="26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7" t="s">
        <v>419</v>
      </c>
      <c r="G579" t="s">
        <v>561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6" t="str">
        <f>"item_"&amp;CONTROL[[#This Row],[VEHIDCODE]]</f>
        <v>item_mglv_Wagon_Gen7M_Gondola</v>
      </c>
      <c r="P579" s="26" t="str">
        <f>"str_"&amp;CONTROL[[#This Row],[VEHIDCODE]]</f>
        <v>str_mglv_Wagon_Gen7M_Gondola</v>
      </c>
      <c r="Q579" s="8" t="b">
        <f>_xlfn.XLOOKUP(CONTROL[[#This Row],[VEHIDCODE]],PROPERTIES[VEHIDCODE],PROPERTIES[IS_CONCEPT])="IS_CONCEPT"</f>
        <v>1</v>
      </c>
      <c r="R579" s="8" t="b">
        <f>_xlfn.XLOOKUP(CONTROL[[#This Row],[VEHIDCODE]],PROPERTIES[VEHIDCODE],PROPERTIES[EXCLUDE])</f>
        <v>0</v>
      </c>
    </row>
    <row r="580" spans="1:18">
      <c r="A580" s="2" t="s">
        <v>227</v>
      </c>
      <c r="B580" s="26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7" t="s">
        <v>420</v>
      </c>
      <c r="G580" t="s">
        <v>561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6" t="str">
        <f>"item_"&amp;CONTROL[[#This Row],[VEHIDCODE]]</f>
        <v>item_mglv_Wagon_Gen7M_Heavy_Flatcar</v>
      </c>
      <c r="P580" s="26" t="str">
        <f>"str_"&amp;CONTROL[[#This Row],[VEHIDCODE]]</f>
        <v>str_mglv_Wagon_Gen7M_Heavy_Flatcar</v>
      </c>
      <c r="Q580" s="8" t="b">
        <f>_xlfn.XLOOKUP(CONTROL[[#This Row],[VEHIDCODE]],PROPERTIES[VEHIDCODE],PROPERTIES[IS_CONCEPT])="IS_CONCEPT"</f>
        <v>1</v>
      </c>
      <c r="R580" s="8" t="b">
        <f>_xlfn.XLOOKUP(CONTROL[[#This Row],[VEHIDCODE]],PROPERTIES[VEHIDCODE],PROPERTIES[EXCLUDE])</f>
        <v>0</v>
      </c>
    </row>
    <row r="581" spans="1:18">
      <c r="A581" s="2" t="s">
        <v>228</v>
      </c>
      <c r="B581" s="26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7" t="s">
        <v>1721</v>
      </c>
      <c r="G581" t="s">
        <v>561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6" t="str">
        <f>"item_"&amp;CONTROL[[#This Row],[VEHIDCODE]]</f>
        <v>item_mglv_Wagon_Gen7M_Hopper_Type1</v>
      </c>
      <c r="P581" s="26" t="str">
        <f>"str_"&amp;CONTROL[[#This Row],[VEHIDCODE]]</f>
        <v>str_mglv_Wagon_Gen7M_Hopper_Type1</v>
      </c>
      <c r="Q581" s="8" t="b">
        <f>_xlfn.XLOOKUP(CONTROL[[#This Row],[VEHIDCODE]],PROPERTIES[VEHIDCODE],PROPERTIES[IS_CONCEPT])="IS_CONCEPT"</f>
        <v>1</v>
      </c>
      <c r="R581" s="8" t="b">
        <f>_xlfn.XLOOKUP(CONTROL[[#This Row],[VEHIDCODE]],PROPERTIES[VEHIDCODE],PROPERTIES[EXCLUDE])</f>
        <v>0</v>
      </c>
    </row>
    <row r="582" spans="1:18">
      <c r="A582" s="2" t="s">
        <v>229</v>
      </c>
      <c r="B582" s="26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7" t="s">
        <v>1736</v>
      </c>
      <c r="G582" t="s">
        <v>561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6" t="str">
        <f>"item_"&amp;CONTROL[[#This Row],[VEHIDCODE]]</f>
        <v>item_mglv_Wagon_Gen7M_Hopper_Type2</v>
      </c>
      <c r="P582" s="26" t="str">
        <f>"str_"&amp;CONTROL[[#This Row],[VEHIDCODE]]</f>
        <v>str_mglv_Wagon_Gen7M_Hopper_Type2</v>
      </c>
      <c r="Q582" s="8" t="b">
        <f>_xlfn.XLOOKUP(CONTROL[[#This Row],[VEHIDCODE]],PROPERTIES[VEHIDCODE],PROPERTIES[IS_CONCEPT])="IS_CONCEPT"</f>
        <v>1</v>
      </c>
      <c r="R582" s="8" t="b">
        <f>_xlfn.XLOOKUP(CONTROL[[#This Row],[VEHIDCODE]],PROPERTIES[VEHIDCODE],PROPERTIES[EXCLUDE])</f>
        <v>0</v>
      </c>
    </row>
    <row r="583" spans="1:18">
      <c r="A583" s="2" t="s">
        <v>230</v>
      </c>
      <c r="B583" s="26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7" t="s">
        <v>1722</v>
      </c>
      <c r="G583" t="s">
        <v>561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6" t="str">
        <f>"item_"&amp;CONTROL[[#This Row],[VEHIDCODE]]</f>
        <v>item_mglv_Wagon_Gen7M_Silo_Type1</v>
      </c>
      <c r="P583" s="26" t="str">
        <f>"str_"&amp;CONTROL[[#This Row],[VEHIDCODE]]</f>
        <v>str_mglv_Wagon_Gen7M_Silo_Type1</v>
      </c>
      <c r="Q583" s="8" t="b">
        <f>_xlfn.XLOOKUP(CONTROL[[#This Row],[VEHIDCODE]],PROPERTIES[VEHIDCODE],PROPERTIES[IS_CONCEPT])="IS_CONCEPT"</f>
        <v>1</v>
      </c>
      <c r="R583" s="8" t="b">
        <f>_xlfn.XLOOKUP(CONTROL[[#This Row],[VEHIDCODE]],PROPERTIES[VEHIDCODE],PROPERTIES[EXCLUDE])</f>
        <v>0</v>
      </c>
    </row>
    <row r="584" spans="1:18">
      <c r="A584" s="2" t="s">
        <v>231</v>
      </c>
      <c r="B584" s="26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7" t="s">
        <v>1737</v>
      </c>
      <c r="G584" t="s">
        <v>561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6" t="str">
        <f>"item_"&amp;CONTROL[[#This Row],[VEHIDCODE]]</f>
        <v>item_mglv_Wagon_Gen7M_Silo_Type2</v>
      </c>
      <c r="P584" s="26" t="str">
        <f>"str_"&amp;CONTROL[[#This Row],[VEHIDCODE]]</f>
        <v>str_mglv_Wagon_Gen7M_Silo_Type2</v>
      </c>
      <c r="Q584" s="8" t="b">
        <f>_xlfn.XLOOKUP(CONTROL[[#This Row],[VEHIDCODE]],PROPERTIES[VEHIDCODE],PROPERTIES[IS_CONCEPT])="IS_CONCEPT"</f>
        <v>1</v>
      </c>
      <c r="R584" s="8" t="b">
        <f>_xlfn.XLOOKUP(CONTROL[[#This Row],[VEHIDCODE]],PROPERTIES[VEHIDCODE],PROPERTIES[EXCLUDE])</f>
        <v>0</v>
      </c>
    </row>
    <row r="585" spans="1:18">
      <c r="A585" s="2" t="s">
        <v>232</v>
      </c>
      <c r="B585" s="26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7" t="s">
        <v>421</v>
      </c>
      <c r="G585" t="s">
        <v>561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6" t="str">
        <f>"item_"&amp;CONTROL[[#This Row],[VEHIDCODE]]</f>
        <v>item_mglv_Wagon_Gen7M_Superheavy_Flatcar</v>
      </c>
      <c r="P585" s="26" t="str">
        <f>"str_"&amp;CONTROL[[#This Row],[VEHIDCODE]]</f>
        <v>str_mglv_Wagon_Gen7M_Superheavy_Flatcar</v>
      </c>
      <c r="Q585" s="8" t="b">
        <f>_xlfn.XLOOKUP(CONTROL[[#This Row],[VEHIDCODE]],PROPERTIES[VEHIDCODE],PROPERTIES[IS_CONCEPT])="IS_CONCEPT"</f>
        <v>1</v>
      </c>
      <c r="R585" s="8" t="b">
        <f>_xlfn.XLOOKUP(CONTROL[[#This Row],[VEHIDCODE]],PROPERTIES[VEHIDCODE],PROPERTIES[EXCLUDE])</f>
        <v>0</v>
      </c>
    </row>
    <row r="586" spans="1:18">
      <c r="A586" s="2" t="s">
        <v>233</v>
      </c>
      <c r="B586" s="26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7" t="s">
        <v>422</v>
      </c>
      <c r="G586" t="s">
        <v>561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6" t="str">
        <f>"item_"&amp;CONTROL[[#This Row],[VEHIDCODE]]</f>
        <v>item_mglv_Wagon_Gen7M_Tanker</v>
      </c>
      <c r="P586" s="26" t="str">
        <f>"str_"&amp;CONTROL[[#This Row],[VEHIDCODE]]</f>
        <v>str_mglv_Wagon_Gen7M_Tanker</v>
      </c>
      <c r="Q586" s="8" t="b">
        <f>_xlfn.XLOOKUP(CONTROL[[#This Row],[VEHIDCODE]],PROPERTIES[VEHIDCODE],PROPERTIES[IS_CONCEPT])="IS_CONCEPT"</f>
        <v>1</v>
      </c>
      <c r="R586" s="8" t="b">
        <f>_xlfn.XLOOKUP(CONTROL[[#This Row],[VEHIDCODE]],PROPERTIES[VEHIDCODE],PROPERTIES[EXCLUDE])</f>
        <v>0</v>
      </c>
    </row>
    <row r="587" spans="1:18">
      <c r="A587" s="2" t="s">
        <v>3284</v>
      </c>
      <c r="B587" s="26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7" t="s">
        <v>2472</v>
      </c>
      <c r="G587" t="s">
        <v>1655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6" t="str">
        <f>"item_"&amp;CONTROL[[#This Row],[VEHIDCODE]]</f>
        <v>item_rbd_Niigata_Transys_Shikoku_1000</v>
      </c>
      <c r="P587" s="26" t="str">
        <f>"str_"&amp;CONTROL[[#This Row],[VEHIDCODE]]</f>
        <v>str_rbd_Niigata_Transys_Shikoku_1000</v>
      </c>
      <c r="Q587" s="8" t="b">
        <f>_xlfn.XLOOKUP(CONTROL[[#This Row],[VEHIDCODE]],PROPERTIES[VEHIDCODE],PROPERTIES[IS_CONCEPT])="IS_CONCEPT"</f>
        <v>0</v>
      </c>
      <c r="R587" s="8" t="b">
        <f>_xlfn.XLOOKUP(CONTROL[[#This Row],[VEHIDCODE]],PROPERTIES[VEHIDCODE],PROPERTIES[EXCLUDE])</f>
        <v>0</v>
      </c>
    </row>
    <row r="588" spans="1:18">
      <c r="A588" s="2" t="s">
        <v>3285</v>
      </c>
      <c r="B588" s="26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7" t="s">
        <v>2473</v>
      </c>
      <c r="G588" t="s">
        <v>1656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6" t="str">
        <f>"item_"&amp;CONTROL[[#This Row],[VEHIDCODE]]</f>
        <v>item_rbd_Niigata_Transys_KiHa_E120</v>
      </c>
      <c r="P588" s="26" t="str">
        <f>"str_"&amp;CONTROL[[#This Row],[VEHIDCODE]]</f>
        <v>str_rbd_Niigata_Transys_KiHa_E120</v>
      </c>
      <c r="Q588" s="8" t="b">
        <f>_xlfn.XLOOKUP(CONTROL[[#This Row],[VEHIDCODE]],PROPERTIES[VEHIDCODE],PROPERTIES[IS_CONCEPT])="IS_CONCEPT"</f>
        <v>0</v>
      </c>
      <c r="R588" s="8" t="b">
        <f>_xlfn.XLOOKUP(CONTROL[[#This Row],[VEHIDCODE]],PROPERTIES[VEHIDCODE],PROPERTIES[EXCLUDE])</f>
        <v>0</v>
      </c>
    </row>
    <row r="589" spans="1:18">
      <c r="A589" s="2" t="s">
        <v>3286</v>
      </c>
      <c r="B589" s="26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7" t="s">
        <v>3620</v>
      </c>
      <c r="G589" t="s">
        <v>3619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6" t="str">
        <f>"item_"&amp;CONTROL[[#This Row],[VEHIDCODE]]</f>
        <v>item_rbd_EFE_SB_56_Buscarril</v>
      </c>
      <c r="P589" s="26" t="str">
        <f>"str_"&amp;CONTROL[[#This Row],[VEHIDCODE]]</f>
        <v>str_rbd_EFE_SB_56_Buscarril</v>
      </c>
      <c r="Q589" s="8" t="b">
        <f>_xlfn.XLOOKUP(CONTROL[[#This Row],[VEHIDCODE]],PROPERTIES[VEHIDCODE],PROPERTIES[IS_CONCEPT])="IS_CONCEPT"</f>
        <v>0</v>
      </c>
      <c r="R589" s="8" t="b">
        <f>_xlfn.XLOOKUP(CONTROL[[#This Row],[VEHIDCODE]],PROPERTIES[VEHIDCODE],PROPERTIES[EXCLUDE])</f>
        <v>0</v>
      </c>
    </row>
    <row r="590" spans="1:18">
      <c r="A590" s="2" t="s">
        <v>3287</v>
      </c>
      <c r="B590" s="26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7" t="s">
        <v>2474</v>
      </c>
      <c r="G590" t="s">
        <v>1658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6" t="str">
        <f>"item_"&amp;CONTROL[[#This Row],[VEHIDCODE]]</f>
        <v>item_rbd_Sulzer_M_Railcar</v>
      </c>
      <c r="P590" s="26" t="str">
        <f>"str_"&amp;CONTROL[[#This Row],[VEHIDCODE]]</f>
        <v>str_rbd_Sulzer_M_Railcar</v>
      </c>
      <c r="Q590" s="8" t="b">
        <f>_xlfn.XLOOKUP(CONTROL[[#This Row],[VEHIDCODE]],PROPERTIES[VEHIDCODE],PROPERTIES[IS_CONCEPT])="IS_CONCEPT"</f>
        <v>0</v>
      </c>
      <c r="R590" s="8" t="b">
        <f>_xlfn.XLOOKUP(CONTROL[[#This Row],[VEHIDCODE]],PROPERTIES[VEHIDCODE],PROPERTIES[EXCLUDE])</f>
        <v>0</v>
      </c>
    </row>
    <row r="591" spans="1:18">
      <c r="A591" s="2" t="s">
        <v>3288</v>
      </c>
      <c r="B591" s="26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7" t="s">
        <v>423</v>
      </c>
      <c r="G591" t="s">
        <v>1657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6" t="str">
        <f>"item_"&amp;CONTROL[[#This Row],[VEHIDCODE]]</f>
        <v>item_rbd_Eritrean_Railway_A_62_70_Littorina</v>
      </c>
      <c r="P591" s="26" t="str">
        <f>"str_"&amp;CONTROL[[#This Row],[VEHIDCODE]]</f>
        <v>str_rbd_Eritrean_Railway_A_62_70_Littorina</v>
      </c>
      <c r="Q591" s="8" t="b">
        <f>_xlfn.XLOOKUP(CONTROL[[#This Row],[VEHIDCODE]],PROPERTIES[VEHIDCODE],PROPERTIES[IS_CONCEPT])="IS_CONCEPT"</f>
        <v>0</v>
      </c>
      <c r="R591" s="8" t="b">
        <f>_xlfn.XLOOKUP(CONTROL[[#This Row],[VEHIDCODE]],PROPERTIES[VEHIDCODE],PROPERTIES[EXCLUDE])</f>
        <v>0</v>
      </c>
    </row>
    <row r="592" spans="1:18">
      <c r="A592" s="2" t="s">
        <v>3289</v>
      </c>
      <c r="B592" s="26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7" t="s">
        <v>2475</v>
      </c>
      <c r="G592" t="s">
        <v>1659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6" t="str">
        <f>"item_"&amp;CONTROL[[#This Row],[VEHIDCODE]]</f>
        <v>item_rbe_SLM_CFe_3_3</v>
      </c>
      <c r="P592" s="26" t="str">
        <f>"str_"&amp;CONTROL[[#This Row],[VEHIDCODE]]</f>
        <v>str_rbe_SLM_CFe_3_3</v>
      </c>
      <c r="Q592" s="8" t="b">
        <f>_xlfn.XLOOKUP(CONTROL[[#This Row],[VEHIDCODE]],PROPERTIES[VEHIDCODE],PROPERTIES[IS_CONCEPT])="IS_CONCEPT"</f>
        <v>0</v>
      </c>
      <c r="R592" s="8" t="b">
        <f>_xlfn.XLOOKUP(CONTROL[[#This Row],[VEHIDCODE]],PROPERTIES[VEHIDCODE],PROPERTIES[EXCLUDE])</f>
        <v>0</v>
      </c>
    </row>
    <row r="593" spans="1:18">
      <c r="A593" s="2" t="s">
        <v>3290</v>
      </c>
      <c r="B593" s="26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7" t="s">
        <v>424</v>
      </c>
      <c r="G593" t="s">
        <v>3618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6" t="str">
        <f>"item_"&amp;CONTROL[[#This Row],[VEHIDCODE]]</f>
        <v>item_rbe_TPC_BVB_Be_2_2</v>
      </c>
      <c r="P593" s="26" t="str">
        <f>"str_"&amp;CONTROL[[#This Row],[VEHIDCODE]]</f>
        <v>str_rbe_TPC_BVB_Be_2_2</v>
      </c>
      <c r="Q593" s="8" t="b">
        <f>_xlfn.XLOOKUP(CONTROL[[#This Row],[VEHIDCODE]],PROPERTIES[VEHIDCODE],PROPERTIES[IS_CONCEPT])="IS_CONCEPT"</f>
        <v>0</v>
      </c>
      <c r="R593" s="8" t="b">
        <f>_xlfn.XLOOKUP(CONTROL[[#This Row],[VEHIDCODE]],PROPERTIES[VEHIDCODE],PROPERTIES[EXCLUDE])</f>
        <v>0</v>
      </c>
    </row>
    <row r="594" spans="1:18">
      <c r="A594" s="2" t="s">
        <v>3291</v>
      </c>
      <c r="B594" s="26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7" t="s">
        <v>425</v>
      </c>
      <c r="G594" t="s">
        <v>1660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6" t="str">
        <f>"item_"&amp;CONTROL[[#This Row],[VEHIDCODE]]</f>
        <v>item_rbe_MVR_Beh_2_4</v>
      </c>
      <c r="P594" s="26" t="str">
        <f>"str_"&amp;CONTROL[[#This Row],[VEHIDCODE]]</f>
        <v>str_rbe_MVR_Beh_2_4</v>
      </c>
      <c r="Q594" s="8" t="b">
        <f>_xlfn.XLOOKUP(CONTROL[[#This Row],[VEHIDCODE]],PROPERTIES[VEHIDCODE],PROPERTIES[IS_CONCEPT])="IS_CONCEPT"</f>
        <v>0</v>
      </c>
      <c r="R594" s="8" t="b">
        <f>_xlfn.XLOOKUP(CONTROL[[#This Row],[VEHIDCODE]],PROPERTIES[VEHIDCODE],PROPERTIES[EXCLUDE])</f>
        <v>0</v>
      </c>
    </row>
    <row r="595" spans="1:18">
      <c r="A595" s="2" t="s">
        <v>3292</v>
      </c>
      <c r="B595" s="26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7" t="s">
        <v>426</v>
      </c>
      <c r="G595" t="s">
        <v>1661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6" t="str">
        <f>"item_"&amp;CONTROL[[#This Row],[VEHIDCODE]]</f>
        <v>item_rbe_Ferrocarril_de_Soller_1_3</v>
      </c>
      <c r="P595" s="26" t="str">
        <f>"str_"&amp;CONTROL[[#This Row],[VEHIDCODE]]</f>
        <v>str_rbe_Ferrocarril_de_Soller_1_3</v>
      </c>
      <c r="Q595" s="8" t="b">
        <f>_xlfn.XLOOKUP(CONTROL[[#This Row],[VEHIDCODE]],PROPERTIES[VEHIDCODE],PROPERTIES[IS_CONCEPT])="IS_CONCEPT"</f>
        <v>0</v>
      </c>
      <c r="R595" s="8" t="b">
        <f>_xlfn.XLOOKUP(CONTROL[[#This Row],[VEHIDCODE]],PROPERTIES[VEHIDCODE],PROPERTIES[EXCLUDE])</f>
        <v>0</v>
      </c>
    </row>
    <row r="596" spans="1:18">
      <c r="A596" s="2" t="s">
        <v>3293</v>
      </c>
      <c r="B596" s="26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7" t="s">
        <v>2476</v>
      </c>
      <c r="G596" t="s">
        <v>1662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6" t="str">
        <f>"item_"&amp;CONTROL[[#This Row],[VEHIDCODE]]</f>
        <v>item_rbe_Hitachi_Choshi_DeHa_1000</v>
      </c>
      <c r="P596" s="26" t="str">
        <f>"str_"&amp;CONTROL[[#This Row],[VEHIDCODE]]</f>
        <v>str_rbe_Hitachi_Choshi_DeHa_1000</v>
      </c>
      <c r="Q596" s="8" t="b">
        <f>_xlfn.XLOOKUP(CONTROL[[#This Row],[VEHIDCODE]],PROPERTIES[VEHIDCODE],PROPERTIES[IS_CONCEPT])="IS_CONCEPT"</f>
        <v>0</v>
      </c>
      <c r="R596" s="8" t="b">
        <f>_xlfn.XLOOKUP(CONTROL[[#This Row],[VEHIDCODE]],PROPERTIES[VEHIDCODE],PROPERTIES[EXCLUDE])</f>
        <v>0</v>
      </c>
    </row>
    <row r="597" spans="1:18">
      <c r="A597" s="2" t="s">
        <v>3294</v>
      </c>
      <c r="B597" s="26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7" t="s">
        <v>2477</v>
      </c>
      <c r="G597" t="s">
        <v>1663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6" t="str">
        <f>"item_"&amp;CONTROL[[#This Row],[VEHIDCODE]]</f>
        <v>item_steam_SLM_G_3_4</v>
      </c>
      <c r="P597" s="26" t="str">
        <f>"str_"&amp;CONTROL[[#This Row],[VEHIDCODE]]</f>
        <v>str_steam_SLM_G_3_4</v>
      </c>
      <c r="Q597" s="8" t="b">
        <f>_xlfn.XLOOKUP(CONTROL[[#This Row],[VEHIDCODE]],PROPERTIES[VEHIDCODE],PROPERTIES[IS_CONCEPT])="IS_CONCEPT"</f>
        <v>0</v>
      </c>
      <c r="R597" s="8" t="b">
        <f>_xlfn.XLOOKUP(CONTROL[[#This Row],[VEHIDCODE]],PROPERTIES[VEHIDCODE],PROPERTIES[EXCLUDE])</f>
        <v>0</v>
      </c>
    </row>
    <row r="598" spans="1:18">
      <c r="A598" s="2" t="s">
        <v>3295</v>
      </c>
      <c r="B598" s="26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7" t="s">
        <v>2478</v>
      </c>
      <c r="G598" t="s">
        <v>1664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6" t="str">
        <f>"item_"&amp;CONTROL[[#This Row],[VEHIDCODE]]</f>
        <v>item_steam_Kisha_Seizo_2_10_4T_E10</v>
      </c>
      <c r="P598" s="26" t="str">
        <f>"str_"&amp;CONTROL[[#This Row],[VEHIDCODE]]</f>
        <v>str_steam_Kisha_Seizo_2_10_4T_E10</v>
      </c>
      <c r="Q598" s="8" t="b">
        <f>_xlfn.XLOOKUP(CONTROL[[#This Row],[VEHIDCODE]],PROPERTIES[VEHIDCODE],PROPERTIES[IS_CONCEPT])="IS_CONCEPT"</f>
        <v>0</v>
      </c>
      <c r="R598" s="8" t="b">
        <f>_xlfn.XLOOKUP(CONTROL[[#This Row],[VEHIDCODE]],PROPERTIES[VEHIDCODE],PROPERTIES[EXCLUDE])</f>
        <v>0</v>
      </c>
    </row>
    <row r="599" spans="1:18">
      <c r="A599" s="2" t="s">
        <v>3296</v>
      </c>
      <c r="B599" s="26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7" t="s">
        <v>2648</v>
      </c>
      <c r="G599" t="s">
        <v>1665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6" t="str">
        <f>"item_"&amp;CONTROL[[#This Row],[VEHIDCODE]]</f>
        <v>item_steam_H__K__Porter__Inc_2_6_0_7100</v>
      </c>
      <c r="P599" s="26" t="str">
        <f>"str_"&amp;CONTROL[[#This Row],[VEHIDCODE]]</f>
        <v>str_steam_H__K__Porter__Inc_2_6_0_7100</v>
      </c>
      <c r="Q599" s="8" t="b">
        <f>_xlfn.XLOOKUP(CONTROL[[#This Row],[VEHIDCODE]],PROPERTIES[VEHIDCODE],PROPERTIES[IS_CONCEPT])="IS_CONCEPT"</f>
        <v>0</v>
      </c>
      <c r="R599" s="8" t="b">
        <f>_xlfn.XLOOKUP(CONTROL[[#This Row],[VEHIDCODE]],PROPERTIES[VEHIDCODE],PROPERTIES[EXCLUDE])</f>
        <v>0</v>
      </c>
    </row>
    <row r="600" spans="1:18">
      <c r="A600" s="2" t="s">
        <v>3297</v>
      </c>
      <c r="B600" s="26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7" t="s">
        <v>2479</v>
      </c>
      <c r="G600" t="s">
        <v>1666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6" t="str">
        <f>"item_"&amp;CONTROL[[#This Row],[VEHIDCODE]]</f>
        <v>item_steam_Richard_Francis_Trevithick_2_4_2T_860</v>
      </c>
      <c r="P600" s="26" t="str">
        <f>"str_"&amp;CONTROL[[#This Row],[VEHIDCODE]]</f>
        <v>str_steam_Richard_Francis_Trevithick_2_4_2T_860</v>
      </c>
      <c r="Q600" s="8" t="b">
        <f>_xlfn.XLOOKUP(CONTROL[[#This Row],[VEHIDCODE]],PROPERTIES[VEHIDCODE],PROPERTIES[IS_CONCEPT])="IS_CONCEPT"</f>
        <v>0</v>
      </c>
      <c r="R600" s="8" t="b">
        <f>_xlfn.XLOOKUP(CONTROL[[#This Row],[VEHIDCODE]],PROPERTIES[VEHIDCODE],PROPERTIES[EXCLUDE])</f>
        <v>0</v>
      </c>
    </row>
    <row r="601" spans="1:18">
      <c r="A601" s="2" t="s">
        <v>3298</v>
      </c>
      <c r="B601" s="26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7" t="s">
        <v>2480</v>
      </c>
      <c r="G601" t="s">
        <v>1667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6" t="str">
        <f>"item_"&amp;CONTROL[[#This Row],[VEHIDCODE]]</f>
        <v>item_steam_Kawasaki_2_8_0_9600</v>
      </c>
      <c r="P601" s="26" t="str">
        <f>"str_"&amp;CONTROL[[#This Row],[VEHIDCODE]]</f>
        <v>str_steam_Kawasaki_2_8_0_9600</v>
      </c>
      <c r="Q601" s="8" t="b">
        <f>_xlfn.XLOOKUP(CONTROL[[#This Row],[VEHIDCODE]],PROPERTIES[VEHIDCODE],PROPERTIES[IS_CONCEPT])="IS_CONCEPT"</f>
        <v>0</v>
      </c>
      <c r="R601" s="8" t="b">
        <f>_xlfn.XLOOKUP(CONTROL[[#This Row],[VEHIDCODE]],PROPERTIES[VEHIDCODE],PROPERTIES[EXCLUDE])</f>
        <v>0</v>
      </c>
    </row>
    <row r="602" spans="1:18">
      <c r="A602" s="2" t="s">
        <v>3299</v>
      </c>
      <c r="B602" s="26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7" t="s">
        <v>2481</v>
      </c>
      <c r="G602" t="s">
        <v>1668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6" t="str">
        <f>"item_"&amp;CONTROL[[#This Row],[VEHIDCODE]]</f>
        <v>item_steam_Kawasaki_2_8_2_D50</v>
      </c>
      <c r="P602" s="26" t="str">
        <f>"str_"&amp;CONTROL[[#This Row],[VEHIDCODE]]</f>
        <v>str_steam_Kawasaki_2_8_2_D50</v>
      </c>
      <c r="Q602" s="8" t="b">
        <f>_xlfn.XLOOKUP(CONTROL[[#This Row],[VEHIDCODE]],PROPERTIES[VEHIDCODE],PROPERTIES[IS_CONCEPT])="IS_CONCEPT"</f>
        <v>0</v>
      </c>
      <c r="R602" s="8" t="b">
        <f>_xlfn.XLOOKUP(CONTROL[[#This Row],[VEHIDCODE]],PROPERTIES[VEHIDCODE],PROPERTIES[EXCLUDE])</f>
        <v>0</v>
      </c>
    </row>
    <row r="603" spans="1:18">
      <c r="A603" s="2" t="s">
        <v>3300</v>
      </c>
      <c r="B603" s="26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7" t="s">
        <v>2482</v>
      </c>
      <c r="G603" t="s">
        <v>1669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6" t="str">
        <f>"item_"&amp;CONTROL[[#This Row],[VEHIDCODE]]</f>
        <v>item_diesel_Kisha_Mitsubishi_NS_DF50</v>
      </c>
      <c r="P603" s="26" t="str">
        <f>"str_"&amp;CONTROL[[#This Row],[VEHIDCODE]]</f>
        <v>str_diesel_Kisha_Mitsubishi_NS_DF50</v>
      </c>
      <c r="Q603" s="8" t="b">
        <f>_xlfn.XLOOKUP(CONTROL[[#This Row],[VEHIDCODE]],PROPERTIES[VEHIDCODE],PROPERTIES[IS_CONCEPT])="IS_CONCEPT"</f>
        <v>0</v>
      </c>
      <c r="R603" s="8" t="b">
        <f>_xlfn.XLOOKUP(CONTROL[[#This Row],[VEHIDCODE]],PROPERTIES[VEHIDCODE],PROPERTIES[EXCLUDE])</f>
        <v>0</v>
      </c>
    </row>
    <row r="604" spans="1:18">
      <c r="A604" s="2" t="s">
        <v>3301</v>
      </c>
      <c r="B604" s="26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7" t="s">
        <v>2483</v>
      </c>
      <c r="G604" t="s">
        <v>1670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6" t="str">
        <f>"item_"&amp;CONTROL[[#This Row],[VEHIDCODE]]</f>
        <v>item_electric_SIG_Alioth_De_2_2</v>
      </c>
      <c r="P604" s="26" t="str">
        <f>"str_"&amp;CONTROL[[#This Row],[VEHIDCODE]]</f>
        <v>str_electric_SIG_Alioth_De_2_2</v>
      </c>
      <c r="Q604" s="8" t="b">
        <f>_xlfn.XLOOKUP(CONTROL[[#This Row],[VEHIDCODE]],PROPERTIES[VEHIDCODE],PROPERTIES[IS_CONCEPT])="IS_CONCEPT"</f>
        <v>0</v>
      </c>
      <c r="R604" s="8" t="b">
        <f>_xlfn.XLOOKUP(CONTROL[[#This Row],[VEHIDCODE]],PROPERTIES[VEHIDCODE],PROPERTIES[EXCLUDE])</f>
        <v>0</v>
      </c>
    </row>
    <row r="605" spans="1:18">
      <c r="A605" s="2" t="s">
        <v>3302</v>
      </c>
      <c r="B605" s="26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7" t="s">
        <v>2484</v>
      </c>
      <c r="G605" t="s">
        <v>1671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6" t="str">
        <f>"item_"&amp;CONTROL[[#This Row],[VEHIDCODE]]</f>
        <v>item_electric_Toshiba_EH10</v>
      </c>
      <c r="P605" s="26" t="str">
        <f>"str_"&amp;CONTROL[[#This Row],[VEHIDCODE]]</f>
        <v>str_electric_Toshiba_EH10</v>
      </c>
      <c r="Q605" s="8" t="b">
        <f>_xlfn.XLOOKUP(CONTROL[[#This Row],[VEHIDCODE]],PROPERTIES[VEHIDCODE],PROPERTIES[IS_CONCEPT])="IS_CONCEPT"</f>
        <v>0</v>
      </c>
      <c r="R605" s="8" t="b">
        <f>_xlfn.XLOOKUP(CONTROL[[#This Row],[VEHIDCODE]],PROPERTIES[VEHIDCODE],PROPERTIES[EXCLUDE])</f>
        <v>0</v>
      </c>
    </row>
    <row r="606" spans="1:18">
      <c r="A606" s="2" t="s">
        <v>3303</v>
      </c>
      <c r="B606" s="26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7" t="s">
        <v>2485</v>
      </c>
      <c r="G606" t="s">
        <v>1672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6" t="str">
        <f>"item_"&amp;CONTROL[[#This Row],[VEHIDCODE]]</f>
        <v>item_electric_Kawasaki_Toshiba_EF64</v>
      </c>
      <c r="P606" s="26" t="str">
        <f>"str_"&amp;CONTROL[[#This Row],[VEHIDCODE]]</f>
        <v>str_electric_Kawasaki_Toshiba_EF64</v>
      </c>
      <c r="Q606" s="8" t="b">
        <f>_xlfn.XLOOKUP(CONTROL[[#This Row],[VEHIDCODE]],PROPERTIES[VEHIDCODE],PROPERTIES[IS_CONCEPT])="IS_CONCEPT"</f>
        <v>0</v>
      </c>
      <c r="R606" s="8" t="b">
        <f>_xlfn.XLOOKUP(CONTROL[[#This Row],[VEHIDCODE]],PROPERTIES[VEHIDCODE],PROPERTIES[EXCLUDE])</f>
        <v>0</v>
      </c>
    </row>
    <row r="607" spans="1:18">
      <c r="A607" s="2" t="s">
        <v>3304</v>
      </c>
      <c r="B607" s="26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7" t="s">
        <v>2486</v>
      </c>
      <c r="G607" t="s">
        <v>1673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6" t="str">
        <f>"item_"&amp;CONTROL[[#This Row],[VEHIDCODE]]</f>
        <v>item_electric_EEC_EO_Class</v>
      </c>
      <c r="P607" s="26" t="str">
        <f>"str_"&amp;CONTROL[[#This Row],[VEHIDCODE]]</f>
        <v>str_electric_EEC_EO_Class</v>
      </c>
      <c r="Q607" s="8" t="b">
        <f>_xlfn.XLOOKUP(CONTROL[[#This Row],[VEHIDCODE]],PROPERTIES[VEHIDCODE],PROPERTIES[IS_CONCEPT])="IS_CONCEPT"</f>
        <v>0</v>
      </c>
      <c r="R607" s="8" t="b">
        <f>_xlfn.XLOOKUP(CONTROL[[#This Row],[VEHIDCODE]],PROPERTIES[VEHIDCODE],PROPERTIES[EXCLUDE])</f>
        <v>0</v>
      </c>
    </row>
    <row r="608" spans="1:18">
      <c r="A608" s="2" t="s">
        <v>3305</v>
      </c>
      <c r="B608" s="26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7" t="s">
        <v>3563</v>
      </c>
      <c r="G608" t="s">
        <v>1674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6" t="str">
        <f>"item_"&amp;CONTROL[[#This Row],[VEHIDCODE]]</f>
        <v>item_electric_Tulloch_0_6_0DM_W_Class</v>
      </c>
      <c r="P608" s="26" t="str">
        <f>"str_"&amp;CONTROL[[#This Row],[VEHIDCODE]]</f>
        <v>str_electric_Tulloch_0_6_0DM_W_Class</v>
      </c>
      <c r="Q608" s="8" t="b">
        <f>_xlfn.XLOOKUP(CONTROL[[#This Row],[VEHIDCODE]],PROPERTIES[VEHIDCODE],PROPERTIES[IS_CONCEPT])="IS_CONCEPT"</f>
        <v>0</v>
      </c>
      <c r="R608" s="8" t="b">
        <f>_xlfn.XLOOKUP(CONTROL[[#This Row],[VEHIDCODE]],PROPERTIES[VEHIDCODE],PROPERTIES[EXCLUDE])</f>
        <v>1</v>
      </c>
    </row>
    <row r="609" spans="1:18">
      <c r="A609" s="2" t="s">
        <v>3306</v>
      </c>
      <c r="B609" s="26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7" t="s">
        <v>2488</v>
      </c>
      <c r="G609" t="s">
        <v>1675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6" t="str">
        <f>"item_"&amp;CONTROL[[#This Row],[VEHIDCODE]]</f>
        <v>item_electric_GEC_NBLC_SAR_4E_</v>
      </c>
      <c r="P609" s="26" t="str">
        <f>"str_"&amp;CONTROL[[#This Row],[VEHIDCODE]]</f>
        <v>str_electric_GEC_NBLC_SAR_4E_</v>
      </c>
      <c r="Q609" s="8" t="b">
        <f>_xlfn.XLOOKUP(CONTROL[[#This Row],[VEHIDCODE]],PROPERTIES[VEHIDCODE],PROPERTIES[IS_CONCEPT])="IS_CONCEPT"</f>
        <v>0</v>
      </c>
      <c r="R609" s="8" t="b">
        <f>_xlfn.XLOOKUP(CONTROL[[#This Row],[VEHIDCODE]],PROPERTIES[VEHIDCODE],PROPERTIES[EXCLUDE])</f>
        <v>0</v>
      </c>
    </row>
    <row r="610" spans="1:18">
      <c r="A610" s="2" t="s">
        <v>3307</v>
      </c>
      <c r="B610" s="26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7" t="s">
        <v>2489</v>
      </c>
      <c r="G610" t="s">
        <v>1676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6" t="str">
        <f>"item_"&amp;CONTROL[[#This Row],[VEHIDCODE]]</f>
        <v>item_electric_Metrowick_MV_5E1</v>
      </c>
      <c r="P610" s="26" t="str">
        <f>"str_"&amp;CONTROL[[#This Row],[VEHIDCODE]]</f>
        <v>str_electric_Metrowick_MV_5E1</v>
      </c>
      <c r="Q610" s="8" t="b">
        <f>_xlfn.XLOOKUP(CONTROL[[#This Row],[VEHIDCODE]],PROPERTIES[VEHIDCODE],PROPERTIES[IS_CONCEPT])="IS_CONCEPT"</f>
        <v>0</v>
      </c>
      <c r="R610" s="8" t="b">
        <f>_xlfn.XLOOKUP(CONTROL[[#This Row],[VEHIDCODE]],PROPERTIES[VEHIDCODE],PROPERTIES[EXCLUDE])</f>
        <v>0</v>
      </c>
    </row>
    <row r="611" spans="1:18">
      <c r="A611" s="2" t="s">
        <v>3308</v>
      </c>
      <c r="B611" s="26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7" t="s">
        <v>2490</v>
      </c>
      <c r="G611" t="s">
        <v>1677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6" t="str">
        <f>"item_"&amp;CONTROL[[#This Row],[VEHIDCODE]]</f>
        <v>item_electric_UCW_6E</v>
      </c>
      <c r="P611" s="26" t="str">
        <f>"str_"&amp;CONTROL[[#This Row],[VEHIDCODE]]</f>
        <v>str_electric_UCW_6E</v>
      </c>
      <c r="Q611" s="8" t="b">
        <f>_xlfn.XLOOKUP(CONTROL[[#This Row],[VEHIDCODE]],PROPERTIES[VEHIDCODE],PROPERTIES[IS_CONCEPT])="IS_CONCEPT"</f>
        <v>0</v>
      </c>
      <c r="R611" s="8" t="b">
        <f>_xlfn.XLOOKUP(CONTROL[[#This Row],[VEHIDCODE]],PROPERTIES[VEHIDCODE],PROPERTIES[EXCLUDE])</f>
        <v>0</v>
      </c>
    </row>
    <row r="612" spans="1:18">
      <c r="A612" s="2" t="s">
        <v>3309</v>
      </c>
      <c r="B612" s="26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7" t="s">
        <v>2491</v>
      </c>
      <c r="G612" t="s">
        <v>1680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6" t="str">
        <f>"item_"&amp;CONTROL[[#This Row],[VEHIDCODE]]</f>
        <v>item_electric_SLM_BBC_MFO_Ge_4_4_I</v>
      </c>
      <c r="P612" s="26" t="str">
        <f>"str_"&amp;CONTROL[[#This Row],[VEHIDCODE]]</f>
        <v>str_electric_SLM_BBC_MFO_Ge_4_4_I</v>
      </c>
      <c r="Q612" s="8" t="b">
        <f>_xlfn.XLOOKUP(CONTROL[[#This Row],[VEHIDCODE]],PROPERTIES[VEHIDCODE],PROPERTIES[IS_CONCEPT])="IS_CONCEPT"</f>
        <v>0</v>
      </c>
      <c r="R612" s="8" t="b">
        <f>_xlfn.XLOOKUP(CONTROL[[#This Row],[VEHIDCODE]],PROPERTIES[VEHIDCODE],PROPERTIES[EXCLUDE])</f>
        <v>0</v>
      </c>
    </row>
    <row r="613" spans="1:18">
      <c r="A613" s="2" t="s">
        <v>3310</v>
      </c>
      <c r="B613" s="26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7" t="s">
        <v>2492</v>
      </c>
      <c r="G613" t="s">
        <v>1681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6" t="str">
        <f>"item_"&amp;CONTROL[[#This Row],[VEHIDCODE]]</f>
        <v>item_electric_SLM_BBC_MFO_Ge_6_6_Krokodil</v>
      </c>
      <c r="P613" s="26" t="str">
        <f>"str_"&amp;CONTROL[[#This Row],[VEHIDCODE]]</f>
        <v>str_electric_SLM_BBC_MFO_Ge_6_6_Krokodil</v>
      </c>
      <c r="Q613" s="8" t="b">
        <f>_xlfn.XLOOKUP(CONTROL[[#This Row],[VEHIDCODE]],PROPERTIES[VEHIDCODE],PROPERTIES[IS_CONCEPT])="IS_CONCEPT"</f>
        <v>0</v>
      </c>
      <c r="R613" s="8" t="b">
        <f>_xlfn.XLOOKUP(CONTROL[[#This Row],[VEHIDCODE]],PROPERTIES[VEHIDCODE],PROPERTIES[EXCLUDE])</f>
        <v>0</v>
      </c>
    </row>
    <row r="614" spans="1:18">
      <c r="A614" s="2" t="s">
        <v>3311</v>
      </c>
      <c r="B614" s="26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7" t="s">
        <v>2028</v>
      </c>
      <c r="G614" t="s">
        <v>2029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6" t="str">
        <f>"item_"&amp;CONTROL[[#This Row],[VEHIDCODE]]</f>
        <v>item_electric_Stadler_He_4_4</v>
      </c>
      <c r="P614" s="26" t="str">
        <f>"str_"&amp;CONTROL[[#This Row],[VEHIDCODE]]</f>
        <v>str_electric_Stadler_He_4_4</v>
      </c>
      <c r="Q614" s="8" t="b">
        <f>_xlfn.XLOOKUP(CONTROL[[#This Row],[VEHIDCODE]],PROPERTIES[VEHIDCODE],PROPERTIES[IS_CONCEPT])="IS_CONCEPT"</f>
        <v>0</v>
      </c>
      <c r="R614" s="8" t="b">
        <f>_xlfn.XLOOKUP(CONTROL[[#This Row],[VEHIDCODE]],PROPERTIES[VEHIDCODE],PROPERTIES[EXCLUDE])</f>
        <v>0</v>
      </c>
    </row>
    <row r="615" spans="1:18">
      <c r="A615" s="2" t="s">
        <v>3312</v>
      </c>
      <c r="B615" s="26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7" t="s">
        <v>2493</v>
      </c>
      <c r="G615" t="s">
        <v>1678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6" t="str">
        <f>"item_"&amp;CONTROL[[#This Row],[VEHIDCODE]]</f>
        <v>item_electric_UCW_50_c_s_Group_7E</v>
      </c>
      <c r="P615" s="26" t="str">
        <f>"str_"&amp;CONTROL[[#This Row],[VEHIDCODE]]</f>
        <v>str_electric_UCW_50_c_s_Group_7E</v>
      </c>
      <c r="Q615" s="8" t="b">
        <f>_xlfn.XLOOKUP(CONTROL[[#This Row],[VEHIDCODE]],PROPERTIES[VEHIDCODE],PROPERTIES[IS_CONCEPT])="IS_CONCEPT"</f>
        <v>0</v>
      </c>
      <c r="R615" s="8" t="b">
        <f>_xlfn.XLOOKUP(CONTROL[[#This Row],[VEHIDCODE]],PROPERTIES[VEHIDCODE],PROPERTIES[EXCLUDE])</f>
        <v>0</v>
      </c>
    </row>
    <row r="616" spans="1:18">
      <c r="A616" s="2" t="s">
        <v>3313</v>
      </c>
      <c r="B616" s="26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7" t="s">
        <v>2494</v>
      </c>
      <c r="G616" t="s">
        <v>1679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6" t="str">
        <f>"item_"&amp;CONTROL[[#This Row],[VEHIDCODE]]</f>
        <v>item_electric_General_Motors_GM5FC</v>
      </c>
      <c r="P616" s="26" t="str">
        <f>"str_"&amp;CONTROL[[#This Row],[VEHIDCODE]]</f>
        <v>str_electric_General_Motors_GM5FC</v>
      </c>
      <c r="Q616" s="8" t="b">
        <f>_xlfn.XLOOKUP(CONTROL[[#This Row],[VEHIDCODE]],PROPERTIES[VEHIDCODE],PROPERTIES[IS_CONCEPT])="IS_CONCEPT"</f>
        <v>0</v>
      </c>
      <c r="R616" s="8" t="b">
        <f>_xlfn.XLOOKUP(CONTROL[[#This Row],[VEHIDCODE]],PROPERTIES[VEHIDCODE],PROPERTIES[EXCLUDE])</f>
        <v>0</v>
      </c>
    </row>
    <row r="617" spans="1:18">
      <c r="A617" s="2" t="s">
        <v>3314</v>
      </c>
      <c r="B617" s="26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7" t="s">
        <v>2495</v>
      </c>
      <c r="G617" t="s">
        <v>1682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6" t="str">
        <f>"item_"&amp;CONTROL[[#This Row],[VEHIDCODE]]</f>
        <v>item_electric_Brush_EF_Class</v>
      </c>
      <c r="P617" s="26" t="str">
        <f>"str_"&amp;CONTROL[[#This Row],[VEHIDCODE]]</f>
        <v>str_electric_Brush_EF_Class</v>
      </c>
      <c r="Q617" s="8" t="b">
        <f>_xlfn.XLOOKUP(CONTROL[[#This Row],[VEHIDCODE]],PROPERTIES[VEHIDCODE],PROPERTIES[IS_CONCEPT])="IS_CONCEPT"</f>
        <v>0</v>
      </c>
      <c r="R617" s="8" t="b">
        <f>_xlfn.XLOOKUP(CONTROL[[#This Row],[VEHIDCODE]],PROPERTIES[VEHIDCODE],PROPERTIES[EXCLUDE])</f>
        <v>0</v>
      </c>
    </row>
    <row r="618" spans="1:18">
      <c r="A618" s="2" t="s">
        <v>3315</v>
      </c>
      <c r="B618" s="26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7" t="s">
        <v>2496</v>
      </c>
      <c r="G618" t="s">
        <v>1624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6" t="str">
        <f>"item_"&amp;CONTROL[[#This Row],[VEHIDCODE]]</f>
        <v>item_emu_Nippon_Sharyo_Odakyu_3100_series_NSE</v>
      </c>
      <c r="P618" s="26" t="str">
        <f>"str_"&amp;CONTROL[[#This Row],[VEHIDCODE]]</f>
        <v>str_emu_Nippon_Sharyo_Odakyu_3100_series_NSE</v>
      </c>
      <c r="Q618" s="8" t="b">
        <f>_xlfn.XLOOKUP(CONTROL[[#This Row],[VEHIDCODE]],PROPERTIES[VEHIDCODE],PROPERTIES[IS_CONCEPT])="IS_CONCEPT"</f>
        <v>0</v>
      </c>
      <c r="R618" s="8" t="b">
        <f>_xlfn.XLOOKUP(CONTROL[[#This Row],[VEHIDCODE]],PROPERTIES[VEHIDCODE],PROPERTIES[EXCLUDE])</f>
        <v>0</v>
      </c>
    </row>
    <row r="619" spans="1:18">
      <c r="A619" s="2" t="s">
        <v>3316</v>
      </c>
      <c r="B619" s="26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7" t="s">
        <v>2497</v>
      </c>
      <c r="G619" t="s">
        <v>1625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6" t="str">
        <f>"item_"&amp;CONTROL[[#This Row],[VEHIDCODE]]</f>
        <v>item_emu_Nippon_Sharyo_Odakyu_10000_series_HiSE</v>
      </c>
      <c r="P619" s="26" t="str">
        <f>"str_"&amp;CONTROL[[#This Row],[VEHIDCODE]]</f>
        <v>str_emu_Nippon_Sharyo_Odakyu_10000_series_HiSE</v>
      </c>
      <c r="Q619" s="8" t="b">
        <f>_xlfn.XLOOKUP(CONTROL[[#This Row],[VEHIDCODE]],PROPERTIES[VEHIDCODE],PROPERTIES[IS_CONCEPT])="IS_CONCEPT"</f>
        <v>0</v>
      </c>
      <c r="R619" s="8" t="b">
        <f>_xlfn.XLOOKUP(CONTROL[[#This Row],[VEHIDCODE]],PROPERTIES[VEHIDCODE],PROPERTIES[EXCLUDE])</f>
        <v>0</v>
      </c>
    </row>
    <row r="620" spans="1:18">
      <c r="A620" s="2" t="s">
        <v>3317</v>
      </c>
      <c r="B620" s="26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7" t="s">
        <v>2498</v>
      </c>
      <c r="G620" t="s">
        <v>1626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6" t="str">
        <f>"item_"&amp;CONTROL[[#This Row],[VEHIDCODE]]</f>
        <v>item_emu_Comeng_Goninan_S_set</v>
      </c>
      <c r="P620" s="26" t="str">
        <f>"str_"&amp;CONTROL[[#This Row],[VEHIDCODE]]</f>
        <v>str_emu_Comeng_Goninan_S_set</v>
      </c>
      <c r="Q620" s="8" t="b">
        <f>_xlfn.XLOOKUP(CONTROL[[#This Row],[VEHIDCODE]],PROPERTIES[VEHIDCODE],PROPERTIES[IS_CONCEPT])="IS_CONCEPT"</f>
        <v>0</v>
      </c>
      <c r="R620" s="8" t="b">
        <f>_xlfn.XLOOKUP(CONTROL[[#This Row],[VEHIDCODE]],PROPERTIES[VEHIDCODE],PROPERTIES[EXCLUDE])</f>
        <v>0</v>
      </c>
    </row>
    <row r="621" spans="1:18">
      <c r="A621" s="2" t="s">
        <v>3318</v>
      </c>
      <c r="B621" s="26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7" t="s">
        <v>2499</v>
      </c>
      <c r="G621" t="s">
        <v>1627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6" t="str">
        <f>"item_"&amp;CONTROL[[#This Row],[VEHIDCODE]]</f>
        <v>item_emu_UGL_Rail_H_set_OSCAR</v>
      </c>
      <c r="P621" s="26" t="str">
        <f>"str_"&amp;CONTROL[[#This Row],[VEHIDCODE]]</f>
        <v>str_emu_UGL_Rail_H_set_OSCAR</v>
      </c>
      <c r="Q621" s="8" t="b">
        <f>_xlfn.XLOOKUP(CONTROL[[#This Row],[VEHIDCODE]],PROPERTIES[VEHIDCODE],PROPERTIES[IS_CONCEPT])="IS_CONCEPT"</f>
        <v>0</v>
      </c>
      <c r="R621" s="8" t="b">
        <f>_xlfn.XLOOKUP(CONTROL[[#This Row],[VEHIDCODE]],PROPERTIES[VEHIDCODE],PROPERTIES[EXCLUDE])</f>
        <v>0</v>
      </c>
    </row>
    <row r="622" spans="1:18">
      <c r="A622" s="2" t="s">
        <v>3319</v>
      </c>
      <c r="B622" s="26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7" t="s">
        <v>427</v>
      </c>
      <c r="G622" t="s">
        <v>1628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6" t="str">
        <f>"item_"&amp;CONTROL[[#This Row],[VEHIDCODE]]</f>
        <v>item_emu_Victorian_Railways_Swing_Door</v>
      </c>
      <c r="P622" s="26" t="str">
        <f>"str_"&amp;CONTROL[[#This Row],[VEHIDCODE]]</f>
        <v>str_emu_Victorian_Railways_Swing_Door</v>
      </c>
      <c r="Q622" s="8" t="b">
        <f>_xlfn.XLOOKUP(CONTROL[[#This Row],[VEHIDCODE]],PROPERTIES[VEHIDCODE],PROPERTIES[IS_CONCEPT])="IS_CONCEPT"</f>
        <v>0</v>
      </c>
      <c r="R622" s="8" t="b">
        <f>_xlfn.XLOOKUP(CONTROL[[#This Row],[VEHIDCODE]],PROPERTIES[VEHIDCODE],PROPERTIES[EXCLUDE])</f>
        <v>0</v>
      </c>
    </row>
    <row r="623" spans="1:18">
      <c r="A623" s="2" t="s">
        <v>3561</v>
      </c>
      <c r="B623" s="26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7" t="s">
        <v>2500</v>
      </c>
      <c r="G623" t="s">
        <v>1629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6" t="str">
        <f>"item_"&amp;CONTROL[[#This Row],[VEHIDCODE]]</f>
        <v>item_emu_Ganz_MAVAG_EM_ET_DNU</v>
      </c>
      <c r="P623" s="26" t="str">
        <f>"str_"&amp;CONTROL[[#This Row],[VEHIDCODE]]</f>
        <v>str_emu_Ganz_MAVAG_EM_ET_DNU</v>
      </c>
      <c r="Q623" s="8" t="b">
        <f>_xlfn.XLOOKUP(CONTROL[[#This Row],[VEHIDCODE]],PROPERTIES[VEHIDCODE],PROPERTIES[IS_CONCEPT])="IS_CONCEPT"</f>
        <v>0</v>
      </c>
      <c r="R623" s="8" t="b">
        <f>_xlfn.XLOOKUP(CONTROL[[#This Row],[VEHIDCODE]],PROPERTIES[VEHIDCODE],PROPERTIES[EXCLUDE])</f>
        <v>1</v>
      </c>
    </row>
    <row r="624" spans="1:18">
      <c r="A624" s="2" t="s">
        <v>3321</v>
      </c>
      <c r="B624" s="26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7" t="s">
        <v>2501</v>
      </c>
      <c r="G624" t="s">
        <v>1630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6" t="str">
        <f>"item_"&amp;CONTROL[[#This Row],[VEHIDCODE]]</f>
        <v>item_emu_Metro_Cammell_5M2</v>
      </c>
      <c r="P624" s="26" t="str">
        <f>"str_"&amp;CONTROL[[#This Row],[VEHIDCODE]]</f>
        <v>str_emu_Metro_Cammell_5M2</v>
      </c>
      <c r="Q624" s="8" t="b">
        <f>_xlfn.XLOOKUP(CONTROL[[#This Row],[VEHIDCODE]],PROPERTIES[VEHIDCODE],PROPERTIES[IS_CONCEPT])="IS_CONCEPT"</f>
        <v>0</v>
      </c>
      <c r="R624" s="8" t="b">
        <f>_xlfn.XLOOKUP(CONTROL[[#This Row],[VEHIDCODE]],PROPERTIES[VEHIDCODE],PROPERTIES[EXCLUDE])</f>
        <v>0</v>
      </c>
    </row>
    <row r="625" spans="1:18">
      <c r="A625" s="2" t="s">
        <v>3322</v>
      </c>
      <c r="B625" s="26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7" t="s">
        <v>2502</v>
      </c>
      <c r="G625" t="s">
        <v>1631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6" t="str">
        <f>"item_"&amp;CONTROL[[#This Row],[VEHIDCODE]]</f>
        <v>item_emu_Alstom_XTrapolis_100</v>
      </c>
      <c r="P625" s="26" t="str">
        <f>"str_"&amp;CONTROL[[#This Row],[VEHIDCODE]]</f>
        <v>str_emu_Alstom_XTrapolis_100</v>
      </c>
      <c r="Q625" s="8" t="b">
        <f>_xlfn.XLOOKUP(CONTROL[[#This Row],[VEHIDCODE]],PROPERTIES[VEHIDCODE],PROPERTIES[IS_CONCEPT])="IS_CONCEPT"</f>
        <v>0</v>
      </c>
      <c r="R625" s="8" t="b">
        <f>_xlfn.XLOOKUP(CONTROL[[#This Row],[VEHIDCODE]],PROPERTIES[VEHIDCODE],PROPERTIES[EXCLUDE])</f>
        <v>0</v>
      </c>
    </row>
    <row r="626" spans="1:18">
      <c r="A626" s="2" t="s">
        <v>3323</v>
      </c>
      <c r="B626" s="26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7" t="s">
        <v>2503</v>
      </c>
      <c r="G626" t="s">
        <v>1632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6" t="str">
        <f>"item_"&amp;CONTROL[[#This Row],[VEHIDCODE]]</f>
        <v>item_emu_GEC_Fiat_AES_Railcar</v>
      </c>
      <c r="P626" s="26" t="str">
        <f>"str_"&amp;CONTROL[[#This Row],[VEHIDCODE]]</f>
        <v>str_emu_GEC_Fiat_AES_Railcar</v>
      </c>
      <c r="Q626" s="8" t="b">
        <f>_xlfn.XLOOKUP(CONTROL[[#This Row],[VEHIDCODE]],PROPERTIES[VEHIDCODE],PROPERTIES[IS_CONCEPT])="IS_CONCEPT"</f>
        <v>0</v>
      </c>
      <c r="R626" s="8" t="b">
        <f>_xlfn.XLOOKUP(CONTROL[[#This Row],[VEHIDCODE]],PROPERTIES[VEHIDCODE],PROPERTIES[EXCLUDE])</f>
        <v>1</v>
      </c>
    </row>
    <row r="627" spans="1:18">
      <c r="A627" s="2" t="s">
        <v>3324</v>
      </c>
      <c r="B627" s="26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7" t="s">
        <v>2504</v>
      </c>
      <c r="G627" t="s">
        <v>2505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6" t="str">
        <f>"item_"&amp;CONTROL[[#This Row],[VEHIDCODE]]</f>
        <v>item_emu_Ganz_MAVAG_YZ_E</v>
      </c>
      <c r="P627" s="26" t="str">
        <f>"str_"&amp;CONTROL[[#This Row],[VEHIDCODE]]</f>
        <v>str_emu_Ganz_MAVAG_YZ_E</v>
      </c>
      <c r="Q627" s="8" t="b">
        <f>_xlfn.XLOOKUP(CONTROL[[#This Row],[VEHIDCODE]],PROPERTIES[VEHIDCODE],PROPERTIES[IS_CONCEPT])="IS_CONCEPT"</f>
        <v>0</v>
      </c>
      <c r="R627" s="8" t="b">
        <f>_xlfn.XLOOKUP(CONTROL[[#This Row],[VEHIDCODE]],PROPERTIES[VEHIDCODE],PROPERTIES[EXCLUDE])</f>
        <v>0</v>
      </c>
    </row>
    <row r="628" spans="1:18">
      <c r="A628" s="2" t="s">
        <v>3325</v>
      </c>
      <c r="B628" s="26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7" t="s">
        <v>2506</v>
      </c>
      <c r="G628" t="s">
        <v>1633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6" t="str">
        <f>"item_"&amp;CONTROL[[#This Row],[VEHIDCODE]]</f>
        <v>item_emu_Walkers_Tilt_Train_ETT</v>
      </c>
      <c r="P628" s="26" t="str">
        <f>"str_"&amp;CONTROL[[#This Row],[VEHIDCODE]]</f>
        <v>str_emu_Walkers_Tilt_Train_ETT</v>
      </c>
      <c r="Q628" s="8" t="b">
        <f>_xlfn.XLOOKUP(CONTROL[[#This Row],[VEHIDCODE]],PROPERTIES[VEHIDCODE],PROPERTIES[IS_CONCEPT])="IS_CONCEPT"</f>
        <v>0</v>
      </c>
      <c r="R628" s="8" t="b">
        <f>_xlfn.XLOOKUP(CONTROL[[#This Row],[VEHIDCODE]],PROPERTIES[VEHIDCODE],PROPERTIES[EXCLUDE])</f>
        <v>0</v>
      </c>
    </row>
    <row r="629" spans="1:18">
      <c r="A629" s="2" t="s">
        <v>3326</v>
      </c>
      <c r="B629" s="26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7" t="s">
        <v>2111</v>
      </c>
      <c r="G629" t="s">
        <v>1639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6" t="str">
        <f>"item_"&amp;CONTROL[[#This Row],[VEHIDCODE]]</f>
        <v>item_electric_NEVZ_TEVZ_VL15</v>
      </c>
      <c r="P629" s="26" t="str">
        <f>"str_"&amp;CONTROL[[#This Row],[VEHIDCODE]]</f>
        <v>str_electric_NEVZ_TEVZ_VL15</v>
      </c>
      <c r="Q629" s="8" t="b">
        <f>_xlfn.XLOOKUP(CONTROL[[#This Row],[VEHIDCODE]],PROPERTIES[VEHIDCODE],PROPERTIES[IS_CONCEPT])="IS_CONCEPT"</f>
        <v>0</v>
      </c>
      <c r="R629" s="8" t="b">
        <f>_xlfn.XLOOKUP(CONTROL[[#This Row],[VEHIDCODE]],PROPERTIES[VEHIDCODE],PROPERTIES[EXCLUDE])</f>
        <v>0</v>
      </c>
    </row>
    <row r="630" spans="1:18">
      <c r="A630" s="2" t="s">
        <v>3327</v>
      </c>
      <c r="B630" s="26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7" t="s">
        <v>2112</v>
      </c>
      <c r="G630" t="s">
        <v>1640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6" t="str">
        <f>"item_"&amp;CONTROL[[#This Row],[VEHIDCODE]]</f>
        <v>item_electric_TEVZ_VL11</v>
      </c>
      <c r="P630" s="26" t="str">
        <f>"str_"&amp;CONTROL[[#This Row],[VEHIDCODE]]</f>
        <v>str_electric_TEVZ_VL11</v>
      </c>
      <c r="Q630" s="8" t="b">
        <f>_xlfn.XLOOKUP(CONTROL[[#This Row],[VEHIDCODE]],PROPERTIES[VEHIDCODE],PROPERTIES[IS_CONCEPT])="IS_CONCEPT"</f>
        <v>0</v>
      </c>
      <c r="R630" s="8" t="b">
        <f>_xlfn.XLOOKUP(CONTROL[[#This Row],[VEHIDCODE]],PROPERTIES[VEHIDCODE],PROPERTIES[EXCLUDE])</f>
        <v>0</v>
      </c>
    </row>
    <row r="631" spans="1:18">
      <c r="A631" s="2" t="s">
        <v>3328</v>
      </c>
      <c r="B631" s="26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7" t="s">
        <v>2100</v>
      </c>
      <c r="G631" t="s">
        <v>1641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6" t="str">
        <f>"item_"&amp;CONTROL[[#This Row],[VEHIDCODE]]</f>
        <v>item_electric_NEVZ_VL22M</v>
      </c>
      <c r="P631" s="26" t="str">
        <f>"str_"&amp;CONTROL[[#This Row],[VEHIDCODE]]</f>
        <v>str_electric_NEVZ_VL22M</v>
      </c>
      <c r="Q631" s="8" t="b">
        <f>_xlfn.XLOOKUP(CONTROL[[#This Row],[VEHIDCODE]],PROPERTIES[VEHIDCODE],PROPERTIES[IS_CONCEPT])="IS_CONCEPT"</f>
        <v>0</v>
      </c>
      <c r="R631" s="8" t="b">
        <f>_xlfn.XLOOKUP(CONTROL[[#This Row],[VEHIDCODE]],PROPERTIES[VEHIDCODE],PROPERTIES[EXCLUDE])</f>
        <v>0</v>
      </c>
    </row>
    <row r="632" spans="1:18">
      <c r="A632" s="2" t="s">
        <v>3329</v>
      </c>
      <c r="B632" s="26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7" t="s">
        <v>2113</v>
      </c>
      <c r="G632" t="s">
        <v>1642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6" t="str">
        <f>"item_"&amp;CONTROL[[#This Row],[VEHIDCODE]]</f>
        <v>item_electric_DEVZ_DE1</v>
      </c>
      <c r="P632" s="26" t="str">
        <f>"str_"&amp;CONTROL[[#This Row],[VEHIDCODE]]</f>
        <v>str_electric_DEVZ_DE1</v>
      </c>
      <c r="Q632" s="8" t="b">
        <f>_xlfn.XLOOKUP(CONTROL[[#This Row],[VEHIDCODE]],PROPERTIES[VEHIDCODE],PROPERTIES[IS_CONCEPT])="IS_CONCEPT"</f>
        <v>0</v>
      </c>
      <c r="R632" s="8" t="b">
        <f>_xlfn.XLOOKUP(CONTROL[[#This Row],[VEHIDCODE]],PROPERTIES[VEHIDCODE],PROPERTIES[EXCLUDE])</f>
        <v>0</v>
      </c>
    </row>
    <row r="633" spans="1:18">
      <c r="A633" s="2" t="s">
        <v>3330</v>
      </c>
      <c r="B633" s="26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7" t="s">
        <v>3723</v>
      </c>
      <c r="G633" t="s">
        <v>1643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6" t="str">
        <f>"item_"&amp;CONTROL[[#This Row],[VEHIDCODE]]</f>
        <v>item_electric_Skoda_29E</v>
      </c>
      <c r="P633" s="26" t="str">
        <f>"str_"&amp;CONTROL[[#This Row],[VEHIDCODE]]</f>
        <v>str_electric_Skoda_29E</v>
      </c>
      <c r="Q633" s="8" t="b">
        <f>_xlfn.XLOOKUP(CONTROL[[#This Row],[VEHIDCODE]],PROPERTIES[VEHIDCODE],PROPERTIES[IS_CONCEPT])="IS_CONCEPT"</f>
        <v>0</v>
      </c>
      <c r="R633" s="8" t="b">
        <f>_xlfn.XLOOKUP(CONTROL[[#This Row],[VEHIDCODE]],PROPERTIES[VEHIDCODE],PROPERTIES[EXCLUDE])</f>
        <v>0</v>
      </c>
    </row>
    <row r="634" spans="1:18">
      <c r="A634" s="2" t="s">
        <v>3331</v>
      </c>
      <c r="B634" s="26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7" t="s">
        <v>2114</v>
      </c>
      <c r="G634" t="s">
        <v>1644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6" t="str">
        <f>"item_"&amp;CONTROL[[#This Row],[VEHIDCODE]]</f>
        <v>item_electric_Skoda_82E</v>
      </c>
      <c r="P634" s="26" t="str">
        <f>"str_"&amp;CONTROL[[#This Row],[VEHIDCODE]]</f>
        <v>str_electric_Skoda_82E</v>
      </c>
      <c r="Q634" s="8" t="b">
        <f>_xlfn.XLOOKUP(CONTROL[[#This Row],[VEHIDCODE]],PROPERTIES[VEHIDCODE],PROPERTIES[IS_CONCEPT])="IS_CONCEPT"</f>
        <v>0</v>
      </c>
      <c r="R634" s="8" t="b">
        <f>_xlfn.XLOOKUP(CONTROL[[#This Row],[VEHIDCODE]],PROPERTIES[VEHIDCODE],PROPERTIES[EXCLUDE])</f>
        <v>0</v>
      </c>
    </row>
    <row r="635" spans="1:18">
      <c r="A635" s="2" t="s">
        <v>3332</v>
      </c>
      <c r="B635" s="26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7" t="s">
        <v>2507</v>
      </c>
      <c r="G635" t="s">
        <v>1645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6" t="str">
        <f>"item_"&amp;CONTROL[[#This Row],[VEHIDCODE]]</f>
        <v>item_electric_GE_C_C_4400_RFFSA</v>
      </c>
      <c r="P635" s="26" t="str">
        <f>"str_"&amp;CONTROL[[#This Row],[VEHIDCODE]]</f>
        <v>str_electric_GE_C_C_4400_RFFSA</v>
      </c>
      <c r="Q635" s="8" t="b">
        <f>_xlfn.XLOOKUP(CONTROL[[#This Row],[VEHIDCODE]],PROPERTIES[VEHIDCODE],PROPERTIES[IS_CONCEPT])="IS_CONCEPT"</f>
        <v>0</v>
      </c>
      <c r="R635" s="8" t="b">
        <f>_xlfn.XLOOKUP(CONTROL[[#This Row],[VEHIDCODE]],PROPERTIES[VEHIDCODE],PROPERTIES[EXCLUDE])</f>
        <v>0</v>
      </c>
    </row>
    <row r="636" spans="1:18">
      <c r="A636" s="2" t="s">
        <v>3333</v>
      </c>
      <c r="B636" s="26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7" t="s">
        <v>2115</v>
      </c>
      <c r="G636" t="s">
        <v>1646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6" t="str">
        <f>"item_"&amp;CONTROL[[#This Row],[VEHIDCODE]]</f>
        <v>item_electric_NEVZ_VL85</v>
      </c>
      <c r="P636" s="26" t="str">
        <f>"str_"&amp;CONTROL[[#This Row],[VEHIDCODE]]</f>
        <v>str_electric_NEVZ_VL85</v>
      </c>
      <c r="Q636" s="8" t="b">
        <f>_xlfn.XLOOKUP(CONTROL[[#This Row],[VEHIDCODE]],PROPERTIES[VEHIDCODE],PROPERTIES[IS_CONCEPT])="IS_CONCEPT"</f>
        <v>0</v>
      </c>
      <c r="R636" s="8" t="b">
        <f>_xlfn.XLOOKUP(CONTROL[[#This Row],[VEHIDCODE]],PROPERTIES[VEHIDCODE],PROPERTIES[EXCLUDE])</f>
        <v>0</v>
      </c>
    </row>
    <row r="637" spans="1:18">
      <c r="A637" s="2" t="s">
        <v>3334</v>
      </c>
      <c r="B637" s="26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7" t="s">
        <v>2116</v>
      </c>
      <c r="G637" t="s">
        <v>1647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6" t="str">
        <f>"item_"&amp;CONTROL[[#This Row],[VEHIDCODE]]</f>
        <v>item_electric_DEVZ_VL41</v>
      </c>
      <c r="P637" s="26" t="str">
        <f>"str_"&amp;CONTROL[[#This Row],[VEHIDCODE]]</f>
        <v>str_electric_DEVZ_VL41</v>
      </c>
      <c r="Q637" s="8" t="b">
        <f>_xlfn.XLOOKUP(CONTROL[[#This Row],[VEHIDCODE]],PROPERTIES[VEHIDCODE],PROPERTIES[IS_CONCEPT])="IS_CONCEPT"</f>
        <v>0</v>
      </c>
      <c r="R637" s="8" t="b">
        <f>_xlfn.XLOOKUP(CONTROL[[#This Row],[VEHIDCODE]],PROPERTIES[VEHIDCODE],PROPERTIES[EXCLUDE])</f>
        <v>0</v>
      </c>
    </row>
    <row r="638" spans="1:18">
      <c r="A638" s="2" t="s">
        <v>3335</v>
      </c>
      <c r="B638" s="26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7" t="s">
        <v>2508</v>
      </c>
      <c r="G638" t="s">
        <v>1648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6" t="str">
        <f>"item_"&amp;CONTROL[[#This Row],[VEHIDCODE]]</f>
        <v>item_electric_CLW_WAP_4</v>
      </c>
      <c r="P638" s="26" t="str">
        <f>"str_"&amp;CONTROL[[#This Row],[VEHIDCODE]]</f>
        <v>str_electric_CLW_WAP_4</v>
      </c>
      <c r="Q638" s="8" t="b">
        <f>_xlfn.XLOOKUP(CONTROL[[#This Row],[VEHIDCODE]],PROPERTIES[VEHIDCODE],PROPERTIES[IS_CONCEPT])="IS_CONCEPT"</f>
        <v>0</v>
      </c>
      <c r="R638" s="8" t="b">
        <f>_xlfn.XLOOKUP(CONTROL[[#This Row],[VEHIDCODE]],PROPERTIES[VEHIDCODE],PROPERTIES[EXCLUDE])</f>
        <v>0</v>
      </c>
    </row>
    <row r="639" spans="1:18">
      <c r="A639" s="2" t="s">
        <v>3336</v>
      </c>
      <c r="B639" s="26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7" t="s">
        <v>2020</v>
      </c>
      <c r="G639" t="s">
        <v>1649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6" t="str">
        <f>"item_"&amp;CONTROL[[#This Row],[VEHIDCODE]]</f>
        <v>item_electric_NEVZ_ES40</v>
      </c>
      <c r="P639" s="26" t="str">
        <f>"str_"&amp;CONTROL[[#This Row],[VEHIDCODE]]</f>
        <v>str_electric_NEVZ_ES40</v>
      </c>
      <c r="Q639" s="8" t="b">
        <f>_xlfn.XLOOKUP(CONTROL[[#This Row],[VEHIDCODE]],PROPERTIES[VEHIDCODE],PROPERTIES[IS_CONCEPT])="IS_CONCEPT"</f>
        <v>0</v>
      </c>
      <c r="R639" s="8" t="b">
        <f>_xlfn.XLOOKUP(CONTROL[[#This Row],[VEHIDCODE]],PROPERTIES[VEHIDCODE],PROPERTIES[EXCLUDE])</f>
        <v>0</v>
      </c>
    </row>
    <row r="640" spans="1:18">
      <c r="A640" s="2" t="s">
        <v>3337</v>
      </c>
      <c r="B640" s="26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7" t="s">
        <v>2464</v>
      </c>
      <c r="G640" t="s">
        <v>1650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6" t="str">
        <f>"item_"&amp;CONTROL[[#This Row],[VEHIDCODE]]</f>
        <v>item_electric_Zuzhou_KZ4A</v>
      </c>
      <c r="P640" s="26" t="str">
        <f>"str_"&amp;CONTROL[[#This Row],[VEHIDCODE]]</f>
        <v>str_electric_Zuzhou_KZ4A</v>
      </c>
      <c r="Q640" s="8" t="b">
        <f>_xlfn.XLOOKUP(CONTROL[[#This Row],[VEHIDCODE]],PROPERTIES[VEHIDCODE],PROPERTIES[IS_CONCEPT])="IS_CONCEPT"</f>
        <v>0</v>
      </c>
      <c r="R640" s="8" t="b">
        <f>_xlfn.XLOOKUP(CONTROL[[#This Row],[VEHIDCODE]],PROPERTIES[VEHIDCODE],PROPERTIES[EXCLUDE])</f>
        <v>0</v>
      </c>
    </row>
    <row r="641" spans="1:18">
      <c r="A641" s="2" t="s">
        <v>3338</v>
      </c>
      <c r="B641" s="26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7" t="s">
        <v>2463</v>
      </c>
      <c r="G641" t="s">
        <v>1651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6" t="str">
        <f>"item_"&amp;CONTROL[[#This Row],[VEHIDCODE]]</f>
        <v>item_electric_Alstom_KZ8A</v>
      </c>
      <c r="P641" s="26" t="str">
        <f>"str_"&amp;CONTROL[[#This Row],[VEHIDCODE]]</f>
        <v>str_electric_Alstom_KZ8A</v>
      </c>
      <c r="Q641" s="8" t="b">
        <f>_xlfn.XLOOKUP(CONTROL[[#This Row],[VEHIDCODE]],PROPERTIES[VEHIDCODE],PROPERTIES[IS_CONCEPT])="IS_CONCEPT"</f>
        <v>0</v>
      </c>
      <c r="R641" s="8" t="b">
        <f>_xlfn.XLOOKUP(CONTROL[[#This Row],[VEHIDCODE]],PROPERTIES[VEHIDCODE],PROPERTIES[EXCLUDE])</f>
        <v>0</v>
      </c>
    </row>
    <row r="642" spans="1:18">
      <c r="A642" s="2" t="s">
        <v>3339</v>
      </c>
      <c r="B642" s="26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7" t="s">
        <v>2509</v>
      </c>
      <c r="G642" t="s">
        <v>1652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6" t="str">
        <f>"item_"&amp;CONTROL[[#This Row],[VEHIDCODE]]</f>
        <v>item_electric_TRTrans_NEVZ_EP20</v>
      </c>
      <c r="P642" s="26" t="str">
        <f>"str_"&amp;CONTROL[[#This Row],[VEHIDCODE]]</f>
        <v>str_electric_TRTrans_NEVZ_EP20</v>
      </c>
      <c r="Q642" s="8" t="b">
        <f>_xlfn.XLOOKUP(CONTROL[[#This Row],[VEHIDCODE]],PROPERTIES[VEHIDCODE],PROPERTIES[IS_CONCEPT])="IS_CONCEPT"</f>
        <v>0</v>
      </c>
      <c r="R642" s="8" t="b">
        <f>_xlfn.XLOOKUP(CONTROL[[#This Row],[VEHIDCODE]],PROPERTIES[VEHIDCODE],PROPERTIES[EXCLUDE])</f>
        <v>0</v>
      </c>
    </row>
    <row r="643" spans="1:18">
      <c r="A643" s="2" t="s">
        <v>3340</v>
      </c>
      <c r="B643" s="26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7" t="s">
        <v>2510</v>
      </c>
      <c r="G643" t="s">
        <v>1653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6" t="str">
        <f>"item_"&amp;CONTROL[[#This Row],[VEHIDCODE]]</f>
        <v>item_rbd_Valmet_Dm7</v>
      </c>
      <c r="P643" s="26" t="str">
        <f>"str_"&amp;CONTROL[[#This Row],[VEHIDCODE]]</f>
        <v>str_rbd_Valmet_Dm7</v>
      </c>
      <c r="Q643" s="8" t="b">
        <f>_xlfn.XLOOKUP(CONTROL[[#This Row],[VEHIDCODE]],PROPERTIES[VEHIDCODE],PROPERTIES[IS_CONCEPT])="IS_CONCEPT"</f>
        <v>0</v>
      </c>
      <c r="R643" s="8" t="b">
        <f>_xlfn.XLOOKUP(CONTROL[[#This Row],[VEHIDCODE]],PROPERTIES[VEHIDCODE],PROPERTIES[EXCLUDE])</f>
        <v>0</v>
      </c>
    </row>
    <row r="644" spans="1:18">
      <c r="A644" s="2" t="s">
        <v>3341</v>
      </c>
      <c r="B644" s="26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7" t="s">
        <v>2039</v>
      </c>
      <c r="G644" t="s">
        <v>1654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6" t="str">
        <f>"item_"&amp;CONTROL[[#This Row],[VEHIDCODE]]</f>
        <v>item_rbd_Vagonka_Studenka_91M0_</v>
      </c>
      <c r="P644" s="26" t="str">
        <f>"str_"&amp;CONTROL[[#This Row],[VEHIDCODE]]</f>
        <v>str_rbd_Vagonka_Studenka_91M0_</v>
      </c>
      <c r="Q644" s="8" t="b">
        <f>_xlfn.XLOOKUP(CONTROL[[#This Row],[VEHIDCODE]],PROPERTIES[VEHIDCODE],PROPERTIES[IS_CONCEPT])="IS_CONCEPT"</f>
        <v>0</v>
      </c>
      <c r="R644" s="8" t="b">
        <f>_xlfn.XLOOKUP(CONTROL[[#This Row],[VEHIDCODE]],PROPERTIES[VEHIDCODE],PROPERTIES[EXCLUDE])</f>
        <v>0</v>
      </c>
    </row>
    <row r="645" spans="1:18">
      <c r="A645" s="2" t="s">
        <v>3342</v>
      </c>
      <c r="B645" s="26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7" t="s">
        <v>2467</v>
      </c>
      <c r="G645" t="s">
        <v>1634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6" t="str">
        <f>"item_"&amp;CONTROL[[#This Row],[VEHIDCODE]]</f>
        <v>item_emu_RVR_ER200</v>
      </c>
      <c r="P645" s="26" t="str">
        <f>"str_"&amp;CONTROL[[#This Row],[VEHIDCODE]]</f>
        <v>str_emu_RVR_ER200</v>
      </c>
      <c r="Q645" s="8" t="b">
        <f>_xlfn.XLOOKUP(CONTROL[[#This Row],[VEHIDCODE]],PROPERTIES[VEHIDCODE],PROPERTIES[IS_CONCEPT])="IS_CONCEPT"</f>
        <v>0</v>
      </c>
      <c r="R645" s="8" t="b">
        <f>_xlfn.XLOOKUP(CONTROL[[#This Row],[VEHIDCODE]],PROPERTIES[VEHIDCODE],PROPERTIES[EXCLUDE])</f>
        <v>0</v>
      </c>
    </row>
    <row r="646" spans="1:18">
      <c r="A646" s="2" t="s">
        <v>3343</v>
      </c>
      <c r="B646" s="26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7" t="s">
        <v>2511</v>
      </c>
      <c r="G646" t="s">
        <v>1635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6" t="str">
        <f>"item_"&amp;CONTROL[[#This Row],[VEHIDCODE]]</f>
        <v>item_emu_MMZ_S</v>
      </c>
      <c r="P646" s="26" t="str">
        <f>"str_"&amp;CONTROL[[#This Row],[VEHIDCODE]]</f>
        <v>str_emu_MMZ_S</v>
      </c>
      <c r="Q646" s="8" t="b">
        <f>_xlfn.XLOOKUP(CONTROL[[#This Row],[VEHIDCODE]],PROPERTIES[VEHIDCODE],PROPERTIES[IS_CONCEPT])="IS_CONCEPT"</f>
        <v>0</v>
      </c>
      <c r="R646" s="8" t="b">
        <f>_xlfn.XLOOKUP(CONTROL[[#This Row],[VEHIDCODE]],PROPERTIES[VEHIDCODE],PROPERTIES[EXCLUDE])</f>
        <v>0</v>
      </c>
    </row>
    <row r="647" spans="1:18">
      <c r="A647" s="2" t="s">
        <v>3344</v>
      </c>
      <c r="B647" s="26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7" t="s">
        <v>2512</v>
      </c>
      <c r="G647" t="s">
        <v>1636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6" t="str">
        <f>"item_"&amp;CONTROL[[#This Row],[VEHIDCODE]]</f>
        <v>item_emu_Koncar_6112</v>
      </c>
      <c r="P647" s="26" t="str">
        <f>"str_"&amp;CONTROL[[#This Row],[VEHIDCODE]]</f>
        <v>str_emu_Koncar_6112</v>
      </c>
      <c r="Q647" s="8" t="b">
        <f>_xlfn.XLOOKUP(CONTROL[[#This Row],[VEHIDCODE]],PROPERTIES[VEHIDCODE],PROPERTIES[IS_CONCEPT])="IS_CONCEPT"</f>
        <v>0</v>
      </c>
      <c r="R647" s="8" t="b">
        <f>_xlfn.XLOOKUP(CONTROL[[#This Row],[VEHIDCODE]],PROPERTIES[VEHIDCODE],PROPERTIES[EXCLUDE])</f>
        <v>0</v>
      </c>
    </row>
    <row r="648" spans="1:18">
      <c r="A648" s="2" t="s">
        <v>3345</v>
      </c>
      <c r="B648" s="26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7" t="s">
        <v>2513</v>
      </c>
      <c r="G648" t="s">
        <v>1637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6" t="str">
        <f>"item_"&amp;CONTROL[[#This Row],[VEHIDCODE]]</f>
        <v>item_emu_Siemens_Desiro_ES1_Lastochka</v>
      </c>
      <c r="P648" s="26" t="str">
        <f>"str_"&amp;CONTROL[[#This Row],[VEHIDCODE]]</f>
        <v>str_emu_Siemens_Desiro_ES1_Lastochka</v>
      </c>
      <c r="Q648" s="8" t="b">
        <f>_xlfn.XLOOKUP(CONTROL[[#This Row],[VEHIDCODE]],PROPERTIES[VEHIDCODE],PROPERTIES[IS_CONCEPT])="IS_CONCEPT"</f>
        <v>0</v>
      </c>
      <c r="R648" s="8" t="b">
        <f>_xlfn.XLOOKUP(CONTROL[[#This Row],[VEHIDCODE]],PROPERTIES[VEHIDCODE],PROPERTIES[EXCLUDE])</f>
        <v>0</v>
      </c>
    </row>
    <row r="649" spans="1:18">
      <c r="A649" s="2" t="s">
        <v>83</v>
      </c>
      <c r="B649" s="26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7" t="s">
        <v>428</v>
      </c>
      <c r="G649" t="s">
        <v>561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6" t="str">
        <f>"item_"&amp;CONTROL[[#This Row],[VEHIDCODE]]</f>
        <v>item_mtro_Metro_Wagon_Powered</v>
      </c>
      <c r="P649" s="26" t="str">
        <f>"str_"&amp;CONTROL[[#This Row],[VEHIDCODE]]</f>
        <v>str_mtro_Metro_Wagon_Powered</v>
      </c>
      <c r="Q649" s="8" t="b">
        <f>_xlfn.XLOOKUP(CONTROL[[#This Row],[VEHIDCODE]],PROPERTIES[VEHIDCODE],PROPERTIES[IS_CONCEPT])="IS_CONCEPT"</f>
        <v>0</v>
      </c>
      <c r="R649" s="8" t="b">
        <f>_xlfn.XLOOKUP(CONTROL[[#This Row],[VEHIDCODE]],PROPERTIES[VEHIDCODE],PROPERTIES[EXCLUDE])</f>
        <v>0</v>
      </c>
    </row>
    <row r="650" spans="1:18">
      <c r="A650" s="2" t="s">
        <v>82</v>
      </c>
      <c r="B650" s="26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7" t="s">
        <v>428</v>
      </c>
      <c r="G650" t="s">
        <v>561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6" t="str">
        <f>"item_"&amp;CONTROL[[#This Row],[VEHIDCODE]]</f>
        <v>item_mtro_Metro_Wagon_Unpowered</v>
      </c>
      <c r="P650" s="26" t="str">
        <f>"str_"&amp;CONTROL[[#This Row],[VEHIDCODE]]</f>
        <v>str_mtro_Metro_Wagon_Unpowered</v>
      </c>
      <c r="Q650" s="8" t="b">
        <f>_xlfn.XLOOKUP(CONTROL[[#This Row],[VEHIDCODE]],PROPERTIES[VEHIDCODE],PROPERTIES[IS_CONCEPT])="IS_CONCEPT"</f>
        <v>0</v>
      </c>
      <c r="R650" s="8" t="b">
        <f>_xlfn.XLOOKUP(CONTROL[[#This Row],[VEHIDCODE]],PROPERTIES[VEHIDCODE],PROPERTIES[EXCLUDE])</f>
        <v>0</v>
      </c>
    </row>
    <row r="651" spans="1:18">
      <c r="A651" s="2" t="s">
        <v>84</v>
      </c>
      <c r="B651" s="26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7" t="s">
        <v>429</v>
      </c>
      <c r="G651" t="s">
        <v>561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6" t="str">
        <f>"item_"&amp;CONTROL[[#This Row],[VEHIDCODE]]</f>
        <v>item_mu_MU_Cargo_Wagon_Powered</v>
      </c>
      <c r="P651" s="26" t="str">
        <f>"str_"&amp;CONTROL[[#This Row],[VEHIDCODE]]</f>
        <v>str_mu_MU_Cargo_Wagon_Powered</v>
      </c>
      <c r="Q651" s="8" t="b">
        <f>_xlfn.XLOOKUP(CONTROL[[#This Row],[VEHIDCODE]],PROPERTIES[VEHIDCODE],PROPERTIES[IS_CONCEPT])="IS_CONCEPT"</f>
        <v>0</v>
      </c>
      <c r="R651" s="8" t="b">
        <f>_xlfn.XLOOKUP(CONTROL[[#This Row],[VEHIDCODE]],PROPERTIES[VEHIDCODE],PROPERTIES[EXCLUDE])</f>
        <v>0</v>
      </c>
    </row>
    <row r="652" spans="1:18">
      <c r="A652" s="2" t="s">
        <v>85</v>
      </c>
      <c r="B652" s="26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7" t="s">
        <v>429</v>
      </c>
      <c r="G652" t="s">
        <v>561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6" t="str">
        <f>"item_"&amp;CONTROL[[#This Row],[VEHIDCODE]]</f>
        <v>item_mu_MU_Cargo_Wagon_Unpowered</v>
      </c>
      <c r="P652" s="26" t="str">
        <f>"str_"&amp;CONTROL[[#This Row],[VEHIDCODE]]</f>
        <v>str_mu_MU_Cargo_Wagon_Unpowered</v>
      </c>
      <c r="Q652" s="8" t="b">
        <f>_xlfn.XLOOKUP(CONTROL[[#This Row],[VEHIDCODE]],PROPERTIES[VEHIDCODE],PROPERTIES[IS_CONCEPT])="IS_CONCEPT"</f>
        <v>0</v>
      </c>
      <c r="R652" s="8" t="b">
        <f>_xlfn.XLOOKUP(CONTROL[[#This Row],[VEHIDCODE]],PROPERTIES[VEHIDCODE],PROPERTIES[EXCLUDE])</f>
        <v>0</v>
      </c>
    </row>
    <row r="653" spans="1:18">
      <c r="A653" s="2" t="s">
        <v>86</v>
      </c>
      <c r="B653" s="26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7" t="s">
        <v>430</v>
      </c>
      <c r="G653" t="s">
        <v>561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6" t="str">
        <f>"item_"&amp;CONTROL[[#This Row],[VEHIDCODE]]</f>
        <v>item_mu_MU_Wagon_Powered</v>
      </c>
      <c r="P653" s="26" t="str">
        <f>"str_"&amp;CONTROL[[#This Row],[VEHIDCODE]]</f>
        <v>str_mu_MU_Wagon_Powered</v>
      </c>
      <c r="Q653" s="8" t="b">
        <f>_xlfn.XLOOKUP(CONTROL[[#This Row],[VEHIDCODE]],PROPERTIES[VEHIDCODE],PROPERTIES[IS_CONCEPT])="IS_CONCEPT"</f>
        <v>0</v>
      </c>
      <c r="R653" s="8" t="b">
        <f>_xlfn.XLOOKUP(CONTROL[[#This Row],[VEHIDCODE]],PROPERTIES[VEHIDCODE],PROPERTIES[EXCLUDE])</f>
        <v>0</v>
      </c>
    </row>
    <row r="654" spans="1:18">
      <c r="A654" s="2" t="s">
        <v>87</v>
      </c>
      <c r="B654" s="26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7" t="s">
        <v>430</v>
      </c>
      <c r="G654" t="s">
        <v>561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6" t="str">
        <f>"item_"&amp;CONTROL[[#This Row],[VEHIDCODE]]</f>
        <v>item_mu_MU_Wagon_Unpowered</v>
      </c>
      <c r="P654" s="26" t="str">
        <f>"str_"&amp;CONTROL[[#This Row],[VEHIDCODE]]</f>
        <v>str_mu_MU_Wagon_Unpowered</v>
      </c>
      <c r="Q654" s="8" t="b">
        <f>_xlfn.XLOOKUP(CONTROL[[#This Row],[VEHIDCODE]],PROPERTIES[VEHIDCODE],PROPERTIES[IS_CONCEPT])="IS_CONCEPT"</f>
        <v>0</v>
      </c>
      <c r="R654" s="8" t="b">
        <f>_xlfn.XLOOKUP(CONTROL[[#This Row],[VEHIDCODE]],PROPERTIES[VEHIDCODE],PROPERTIES[EXCLUDE])</f>
        <v>0</v>
      </c>
    </row>
    <row r="655" spans="1:18">
      <c r="A655" s="2" t="s">
        <v>88</v>
      </c>
      <c r="B655" s="26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7" t="s">
        <v>431</v>
      </c>
      <c r="G655" t="s">
        <v>561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6" t="str">
        <f>"item_"&amp;CONTROL[[#This Row],[VEHIDCODE]]</f>
        <v>item_mu_Wagon_Gen1_Flat_Wagon</v>
      </c>
      <c r="P655" s="26" t="str">
        <f>"str_"&amp;CONTROL[[#This Row],[VEHIDCODE]]</f>
        <v>str_mu_Wagon_Gen1_Flat_Wagon</v>
      </c>
      <c r="Q655" s="8" t="b">
        <f>_xlfn.XLOOKUP(CONTROL[[#This Row],[VEHIDCODE]],PROPERTIES[VEHIDCODE],PROPERTIES[IS_CONCEPT])="IS_CONCEPT"</f>
        <v>0</v>
      </c>
      <c r="R655" s="8" t="b">
        <f>_xlfn.XLOOKUP(CONTROL[[#This Row],[VEHIDCODE]],PROPERTIES[VEHIDCODE],PROPERTIES[EXCLUDE])</f>
        <v>0</v>
      </c>
    </row>
    <row r="656" spans="1:18">
      <c r="A656" s="2" t="s">
        <v>89</v>
      </c>
      <c r="B656" s="26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7" t="s">
        <v>432</v>
      </c>
      <c r="G656" t="s">
        <v>561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6" t="str">
        <f>"item_"&amp;CONTROL[[#This Row],[VEHIDCODE]]</f>
        <v>item_mu_Wagon_Gen1_Boxcar</v>
      </c>
      <c r="P656" s="26" t="str">
        <f>"str_"&amp;CONTROL[[#This Row],[VEHIDCODE]]</f>
        <v>str_mu_Wagon_Gen1_Boxcar</v>
      </c>
      <c r="Q656" s="8" t="b">
        <f>_xlfn.XLOOKUP(CONTROL[[#This Row],[VEHIDCODE]],PROPERTIES[VEHIDCODE],PROPERTIES[IS_CONCEPT])="IS_CONCEPT"</f>
        <v>0</v>
      </c>
      <c r="R656" s="8" t="b">
        <f>_xlfn.XLOOKUP(CONTROL[[#This Row],[VEHIDCODE]],PROPERTIES[VEHIDCODE],PROPERTIES[EXCLUDE])</f>
        <v>0</v>
      </c>
    </row>
    <row r="657" spans="1:18">
      <c r="A657" s="2" t="s">
        <v>90</v>
      </c>
      <c r="B657" s="26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7" t="s">
        <v>433</v>
      </c>
      <c r="G657" t="s">
        <v>561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6" t="str">
        <f>"item_"&amp;CONTROL[[#This Row],[VEHIDCODE]]</f>
        <v>item_mu_Wagon_Gen1_Tanker</v>
      </c>
      <c r="P657" s="26" t="str">
        <f>"str_"&amp;CONTROL[[#This Row],[VEHIDCODE]]</f>
        <v>str_mu_Wagon_Gen1_Tanker</v>
      </c>
      <c r="Q657" s="8" t="b">
        <f>_xlfn.XLOOKUP(CONTROL[[#This Row],[VEHIDCODE]],PROPERTIES[VEHIDCODE],PROPERTIES[IS_CONCEPT])="IS_CONCEPT"</f>
        <v>0</v>
      </c>
      <c r="R657" s="8" t="b">
        <f>_xlfn.XLOOKUP(CONTROL[[#This Row],[VEHIDCODE]],PROPERTIES[VEHIDCODE],PROPERTIES[EXCLUDE])</f>
        <v>0</v>
      </c>
    </row>
    <row r="658" spans="1:18">
      <c r="A658" s="2" t="s">
        <v>91</v>
      </c>
      <c r="B658" s="26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7" t="s">
        <v>434</v>
      </c>
      <c r="G658" t="s">
        <v>561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6" t="str">
        <f>"item_"&amp;CONTROL[[#This Row],[VEHIDCODE]]</f>
        <v>item_mu_Wagon_Gen1_Open_Wagon</v>
      </c>
      <c r="P658" s="26" t="str">
        <f>"str_"&amp;CONTROL[[#This Row],[VEHIDCODE]]</f>
        <v>str_mu_Wagon_Gen1_Open_Wagon</v>
      </c>
      <c r="Q658" s="8" t="b">
        <f>_xlfn.XLOOKUP(CONTROL[[#This Row],[VEHIDCODE]],PROPERTIES[VEHIDCODE],PROPERTIES[IS_CONCEPT])="IS_CONCEPT"</f>
        <v>0</v>
      </c>
      <c r="R658" s="8" t="b">
        <f>_xlfn.XLOOKUP(CONTROL[[#This Row],[VEHIDCODE]],PROPERTIES[VEHIDCODE],PROPERTIES[EXCLUDE])</f>
        <v>0</v>
      </c>
    </row>
    <row r="659" spans="1:18">
      <c r="A659" s="2" t="s">
        <v>162</v>
      </c>
      <c r="B659" s="26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7" t="s">
        <v>435</v>
      </c>
      <c r="G659" t="s">
        <v>561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6" t="str">
        <f>"item_"&amp;CONTROL[[#This Row],[VEHIDCODE]]</f>
        <v>item_mu_Wagon_Gen2_Flat_Wagon</v>
      </c>
      <c r="P659" s="26" t="str">
        <f>"str_"&amp;CONTROL[[#This Row],[VEHIDCODE]]</f>
        <v>str_mu_Wagon_Gen2_Flat_Wagon</v>
      </c>
      <c r="Q659" s="8" t="b">
        <f>_xlfn.XLOOKUP(CONTROL[[#This Row],[VEHIDCODE]],PROPERTIES[VEHIDCODE],PROPERTIES[IS_CONCEPT])="IS_CONCEPT"</f>
        <v>0</v>
      </c>
      <c r="R659" s="8" t="b">
        <f>_xlfn.XLOOKUP(CONTROL[[#This Row],[VEHIDCODE]],PROPERTIES[VEHIDCODE],PROPERTIES[EXCLUDE])</f>
        <v>0</v>
      </c>
    </row>
    <row r="660" spans="1:18">
      <c r="A660" s="2" t="s">
        <v>163</v>
      </c>
      <c r="B660" s="26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7" t="s">
        <v>1723</v>
      </c>
      <c r="G660" t="s">
        <v>561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6" t="str">
        <f>"item_"&amp;CONTROL[[#This Row],[VEHIDCODE]]</f>
        <v>item_mu_Wagon_Gen2_Boxcar_Type1</v>
      </c>
      <c r="P660" s="26" t="str">
        <f>"str_"&amp;CONTROL[[#This Row],[VEHIDCODE]]</f>
        <v>str_mu_Wagon_Gen2_Boxcar_Type1</v>
      </c>
      <c r="Q660" s="8" t="b">
        <f>_xlfn.XLOOKUP(CONTROL[[#This Row],[VEHIDCODE]],PROPERTIES[VEHIDCODE],PROPERTIES[IS_CONCEPT])="IS_CONCEPT"</f>
        <v>0</v>
      </c>
      <c r="R660" s="8" t="b">
        <f>_xlfn.XLOOKUP(CONTROL[[#This Row],[VEHIDCODE]],PROPERTIES[VEHIDCODE],PROPERTIES[EXCLUDE])</f>
        <v>0</v>
      </c>
    </row>
    <row r="661" spans="1:18">
      <c r="A661" s="2" t="s">
        <v>164</v>
      </c>
      <c r="B661" s="26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7" t="s">
        <v>1738</v>
      </c>
      <c r="G661" t="s">
        <v>561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6" t="str">
        <f>"item_"&amp;CONTROL[[#This Row],[VEHIDCODE]]</f>
        <v>item_mu_Wagon_Gen2_Boxcar_Type2</v>
      </c>
      <c r="P661" s="26" t="str">
        <f>"str_"&amp;CONTROL[[#This Row],[VEHIDCODE]]</f>
        <v>str_mu_Wagon_Gen2_Boxcar_Type2</v>
      </c>
      <c r="Q661" s="8" t="b">
        <f>_xlfn.XLOOKUP(CONTROL[[#This Row],[VEHIDCODE]],PROPERTIES[VEHIDCODE],PROPERTIES[IS_CONCEPT])="IS_CONCEPT"</f>
        <v>0</v>
      </c>
      <c r="R661" s="8" t="b">
        <f>_xlfn.XLOOKUP(CONTROL[[#This Row],[VEHIDCODE]],PROPERTIES[VEHIDCODE],PROPERTIES[EXCLUDE])</f>
        <v>0</v>
      </c>
    </row>
    <row r="662" spans="1:18">
      <c r="A662" s="2" t="s">
        <v>165</v>
      </c>
      <c r="B662" s="26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7" t="s">
        <v>436</v>
      </c>
      <c r="G662" t="s">
        <v>561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6" t="str">
        <f>"item_"&amp;CONTROL[[#This Row],[VEHIDCODE]]</f>
        <v>item_mu_Wagon_Gen2_Tanker</v>
      </c>
      <c r="P662" s="26" t="str">
        <f>"str_"&amp;CONTROL[[#This Row],[VEHIDCODE]]</f>
        <v>str_mu_Wagon_Gen2_Tanker</v>
      </c>
      <c r="Q662" s="8" t="b">
        <f>_xlfn.XLOOKUP(CONTROL[[#This Row],[VEHIDCODE]],PROPERTIES[VEHIDCODE],PROPERTIES[IS_CONCEPT])="IS_CONCEPT"</f>
        <v>0</v>
      </c>
      <c r="R662" s="8" t="b">
        <f>_xlfn.XLOOKUP(CONTROL[[#This Row],[VEHIDCODE]],PROPERTIES[VEHIDCODE],PROPERTIES[EXCLUDE])</f>
        <v>0</v>
      </c>
    </row>
    <row r="663" spans="1:18">
      <c r="A663" s="2" t="s">
        <v>166</v>
      </c>
      <c r="B663" s="26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7" t="s">
        <v>437</v>
      </c>
      <c r="G663" t="s">
        <v>561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6" t="str">
        <f>"item_"&amp;CONTROL[[#This Row],[VEHIDCODE]]</f>
        <v>item_mu_Wagon_Gen2_Open_Wagon</v>
      </c>
      <c r="P663" s="26" t="str">
        <f>"str_"&amp;CONTROL[[#This Row],[VEHIDCODE]]</f>
        <v>str_mu_Wagon_Gen2_Open_Wagon</v>
      </c>
      <c r="Q663" s="8" t="b">
        <f>_xlfn.XLOOKUP(CONTROL[[#This Row],[VEHIDCODE]],PROPERTIES[VEHIDCODE],PROPERTIES[IS_CONCEPT])="IS_CONCEPT"</f>
        <v>0</v>
      </c>
      <c r="R663" s="8" t="b">
        <f>_xlfn.XLOOKUP(CONTROL[[#This Row],[VEHIDCODE]],PROPERTIES[VEHIDCODE],PROPERTIES[EXCLUDE])</f>
        <v>0</v>
      </c>
    </row>
    <row r="664" spans="1:18">
      <c r="A664" s="2" t="s">
        <v>167</v>
      </c>
      <c r="B664" s="26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7" t="s">
        <v>438</v>
      </c>
      <c r="G664" t="s">
        <v>561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6" t="str">
        <f>"item_"&amp;CONTROL[[#This Row],[VEHIDCODE]]</f>
        <v>item_mu_Wagon_Gen2_Silo</v>
      </c>
      <c r="P664" s="26" t="str">
        <f>"str_"&amp;CONTROL[[#This Row],[VEHIDCODE]]</f>
        <v>str_mu_Wagon_Gen2_Silo</v>
      </c>
      <c r="Q664" s="8" t="b">
        <f>_xlfn.XLOOKUP(CONTROL[[#This Row],[VEHIDCODE]],PROPERTIES[VEHIDCODE],PROPERTIES[IS_CONCEPT])="IS_CONCEPT"</f>
        <v>0</v>
      </c>
      <c r="R664" s="8" t="b">
        <f>_xlfn.XLOOKUP(CONTROL[[#This Row],[VEHIDCODE]],PROPERTIES[VEHIDCODE],PROPERTIES[EXCLUDE])</f>
        <v>0</v>
      </c>
    </row>
    <row r="665" spans="1:18">
      <c r="A665" s="2" t="s">
        <v>168</v>
      </c>
      <c r="B665" s="26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7" t="s">
        <v>439</v>
      </c>
      <c r="G665" t="s">
        <v>561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6" t="str">
        <f>"item_"&amp;CONTROL[[#This Row],[VEHIDCODE]]</f>
        <v>item_mu_Wagon_Gen2_Hopper</v>
      </c>
      <c r="P665" s="26" t="str">
        <f>"str_"&amp;CONTROL[[#This Row],[VEHIDCODE]]</f>
        <v>str_mu_Wagon_Gen2_Hopper</v>
      </c>
      <c r="Q665" s="8" t="b">
        <f>_xlfn.XLOOKUP(CONTROL[[#This Row],[VEHIDCODE]],PROPERTIES[VEHIDCODE],PROPERTIES[IS_CONCEPT])="IS_CONCEPT"</f>
        <v>0</v>
      </c>
      <c r="R665" s="8" t="b">
        <f>_xlfn.XLOOKUP(CONTROL[[#This Row],[VEHIDCODE]],PROPERTIES[VEHIDCODE],PROPERTIES[EXCLUDE])</f>
        <v>0</v>
      </c>
    </row>
    <row r="666" spans="1:18">
      <c r="A666" s="2" t="s">
        <v>169</v>
      </c>
      <c r="B666" s="26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7" t="s">
        <v>440</v>
      </c>
      <c r="G666" t="s">
        <v>561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6" t="str">
        <f>"item_"&amp;CONTROL[[#This Row],[VEHIDCODE]]</f>
        <v>item_mu_Wagon_Gen3_Flat_Wagon</v>
      </c>
      <c r="P666" s="26" t="str">
        <f>"str_"&amp;CONTROL[[#This Row],[VEHIDCODE]]</f>
        <v>str_mu_Wagon_Gen3_Flat_Wagon</v>
      </c>
      <c r="Q666" s="8" t="b">
        <f>_xlfn.XLOOKUP(CONTROL[[#This Row],[VEHIDCODE]],PROPERTIES[VEHIDCODE],PROPERTIES[IS_CONCEPT])="IS_CONCEPT"</f>
        <v>0</v>
      </c>
      <c r="R666" s="8" t="b">
        <f>_xlfn.XLOOKUP(CONTROL[[#This Row],[VEHIDCODE]],PROPERTIES[VEHIDCODE],PROPERTIES[EXCLUDE])</f>
        <v>0</v>
      </c>
    </row>
    <row r="667" spans="1:18">
      <c r="A667" s="2" t="s">
        <v>170</v>
      </c>
      <c r="B667" s="26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7" t="s">
        <v>1724</v>
      </c>
      <c r="G667" t="s">
        <v>561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6" t="str">
        <f>"item_"&amp;CONTROL[[#This Row],[VEHIDCODE]]</f>
        <v>item_mu_Wagon_Gen3_Boxcar_Type1</v>
      </c>
      <c r="P667" s="26" t="str">
        <f>"str_"&amp;CONTROL[[#This Row],[VEHIDCODE]]</f>
        <v>str_mu_Wagon_Gen3_Boxcar_Type1</v>
      </c>
      <c r="Q667" s="8" t="b">
        <f>_xlfn.XLOOKUP(CONTROL[[#This Row],[VEHIDCODE]],PROPERTIES[VEHIDCODE],PROPERTIES[IS_CONCEPT])="IS_CONCEPT"</f>
        <v>0</v>
      </c>
      <c r="R667" s="8" t="b">
        <f>_xlfn.XLOOKUP(CONTROL[[#This Row],[VEHIDCODE]],PROPERTIES[VEHIDCODE],PROPERTIES[EXCLUDE])</f>
        <v>0</v>
      </c>
    </row>
    <row r="668" spans="1:18">
      <c r="A668" s="2" t="s">
        <v>171</v>
      </c>
      <c r="B668" s="26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7" t="s">
        <v>1739</v>
      </c>
      <c r="G668" t="s">
        <v>561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6" t="str">
        <f>"item_"&amp;CONTROL[[#This Row],[VEHIDCODE]]</f>
        <v>item_mu_Wagon_Gen3_Boxcar_Type2</v>
      </c>
      <c r="P668" s="26" t="str">
        <f>"str_"&amp;CONTROL[[#This Row],[VEHIDCODE]]</f>
        <v>str_mu_Wagon_Gen3_Boxcar_Type2</v>
      </c>
      <c r="Q668" s="8" t="b">
        <f>_xlfn.XLOOKUP(CONTROL[[#This Row],[VEHIDCODE]],PROPERTIES[VEHIDCODE],PROPERTIES[IS_CONCEPT])="IS_CONCEPT"</f>
        <v>0</v>
      </c>
      <c r="R668" s="8" t="b">
        <f>_xlfn.XLOOKUP(CONTROL[[#This Row],[VEHIDCODE]],PROPERTIES[VEHIDCODE],PROPERTIES[EXCLUDE])</f>
        <v>0</v>
      </c>
    </row>
    <row r="669" spans="1:18">
      <c r="A669" s="2" t="s">
        <v>172</v>
      </c>
      <c r="B669" s="26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7" t="s">
        <v>441</v>
      </c>
      <c r="G669" t="s">
        <v>561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6" t="str">
        <f>"item_"&amp;CONTROL[[#This Row],[VEHIDCODE]]</f>
        <v>item_mu_Wagon_Gen3_Tanker</v>
      </c>
      <c r="P669" s="26" t="str">
        <f>"str_"&amp;CONTROL[[#This Row],[VEHIDCODE]]</f>
        <v>str_mu_Wagon_Gen3_Tanker</v>
      </c>
      <c r="Q669" s="8" t="b">
        <f>_xlfn.XLOOKUP(CONTROL[[#This Row],[VEHIDCODE]],PROPERTIES[VEHIDCODE],PROPERTIES[IS_CONCEPT])="IS_CONCEPT"</f>
        <v>0</v>
      </c>
      <c r="R669" s="8" t="b">
        <f>_xlfn.XLOOKUP(CONTROL[[#This Row],[VEHIDCODE]],PROPERTIES[VEHIDCODE],PROPERTIES[EXCLUDE])</f>
        <v>0</v>
      </c>
    </row>
    <row r="670" spans="1:18">
      <c r="A670" s="2" t="s">
        <v>173</v>
      </c>
      <c r="B670" s="26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7" t="s">
        <v>442</v>
      </c>
      <c r="G670" t="s">
        <v>561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6" t="str">
        <f>"item_"&amp;CONTROL[[#This Row],[VEHIDCODE]]</f>
        <v>item_mu_Wagon_Gen3_Open_Wagon</v>
      </c>
      <c r="P670" s="26" t="str">
        <f>"str_"&amp;CONTROL[[#This Row],[VEHIDCODE]]</f>
        <v>str_mu_Wagon_Gen3_Open_Wagon</v>
      </c>
      <c r="Q670" s="8" t="b">
        <f>_xlfn.XLOOKUP(CONTROL[[#This Row],[VEHIDCODE]],PROPERTIES[VEHIDCODE],PROPERTIES[IS_CONCEPT])="IS_CONCEPT"</f>
        <v>0</v>
      </c>
      <c r="R670" s="8" t="b">
        <f>_xlfn.XLOOKUP(CONTROL[[#This Row],[VEHIDCODE]],PROPERTIES[VEHIDCODE],PROPERTIES[EXCLUDE])</f>
        <v>0</v>
      </c>
    </row>
    <row r="671" spans="1:18">
      <c r="A671" s="2" t="s">
        <v>174</v>
      </c>
      <c r="B671" s="26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7" t="s">
        <v>1725</v>
      </c>
      <c r="G671" t="s">
        <v>561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6" t="str">
        <f>"item_"&amp;CONTROL[[#This Row],[VEHIDCODE]]</f>
        <v>item_mu_Wagon_Gen3_Silo_Type1</v>
      </c>
      <c r="P671" s="26" t="str">
        <f>"str_"&amp;CONTROL[[#This Row],[VEHIDCODE]]</f>
        <v>str_mu_Wagon_Gen3_Silo_Type1</v>
      </c>
      <c r="Q671" s="8" t="b">
        <f>_xlfn.XLOOKUP(CONTROL[[#This Row],[VEHIDCODE]],PROPERTIES[VEHIDCODE],PROPERTIES[IS_CONCEPT])="IS_CONCEPT"</f>
        <v>0</v>
      </c>
      <c r="R671" s="8" t="b">
        <f>_xlfn.XLOOKUP(CONTROL[[#This Row],[VEHIDCODE]],PROPERTIES[VEHIDCODE],PROPERTIES[EXCLUDE])</f>
        <v>0</v>
      </c>
    </row>
    <row r="672" spans="1:18">
      <c r="A672" s="2" t="s">
        <v>175</v>
      </c>
      <c r="B672" s="26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7" t="s">
        <v>1740</v>
      </c>
      <c r="G672" t="s">
        <v>561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6" t="str">
        <f>"item_"&amp;CONTROL[[#This Row],[VEHIDCODE]]</f>
        <v>item_mu_Wagon_Gen3_Silo_Type2</v>
      </c>
      <c r="P672" s="26" t="str">
        <f>"str_"&amp;CONTROL[[#This Row],[VEHIDCODE]]</f>
        <v>str_mu_Wagon_Gen3_Silo_Type2</v>
      </c>
      <c r="Q672" s="8" t="b">
        <f>_xlfn.XLOOKUP(CONTROL[[#This Row],[VEHIDCODE]],PROPERTIES[VEHIDCODE],PROPERTIES[IS_CONCEPT])="IS_CONCEPT"</f>
        <v>0</v>
      </c>
      <c r="R672" s="8" t="b">
        <f>_xlfn.XLOOKUP(CONTROL[[#This Row],[VEHIDCODE]],PROPERTIES[VEHIDCODE],PROPERTIES[EXCLUDE])</f>
        <v>0</v>
      </c>
    </row>
    <row r="673" spans="1:18">
      <c r="A673" s="2" t="s">
        <v>176</v>
      </c>
      <c r="B673" s="26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7" t="s">
        <v>443</v>
      </c>
      <c r="G673" t="s">
        <v>561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6" t="str">
        <f>"item_"&amp;CONTROL[[#This Row],[VEHIDCODE]]</f>
        <v>item_mu_Wagon_Gen3_Hopper</v>
      </c>
      <c r="P673" s="26" t="str">
        <f>"str_"&amp;CONTROL[[#This Row],[VEHIDCODE]]</f>
        <v>str_mu_Wagon_Gen3_Hopper</v>
      </c>
      <c r="Q673" s="8" t="b">
        <f>_xlfn.XLOOKUP(CONTROL[[#This Row],[VEHIDCODE]],PROPERTIES[VEHIDCODE],PROPERTIES[IS_CONCEPT])="IS_CONCEPT"</f>
        <v>0</v>
      </c>
      <c r="R673" s="8" t="b">
        <f>_xlfn.XLOOKUP(CONTROL[[#This Row],[VEHIDCODE]],PROPERTIES[VEHIDCODE],PROPERTIES[EXCLUDE])</f>
        <v>0</v>
      </c>
    </row>
    <row r="674" spans="1:18">
      <c r="A674" s="2" t="s">
        <v>177</v>
      </c>
      <c r="B674" s="26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7" t="s">
        <v>444</v>
      </c>
      <c r="G674" t="s">
        <v>561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6" t="str">
        <f>"item_"&amp;CONTROL[[#This Row],[VEHIDCODE]]</f>
        <v>item_mu_Wagon_Gen4_Flatcar</v>
      </c>
      <c r="P674" s="26" t="str">
        <f>"str_"&amp;CONTROL[[#This Row],[VEHIDCODE]]</f>
        <v>str_mu_Wagon_Gen4_Flatcar</v>
      </c>
      <c r="Q674" s="8" t="b">
        <f>_xlfn.XLOOKUP(CONTROL[[#This Row],[VEHIDCODE]],PROPERTIES[VEHIDCODE],PROPERTIES[IS_CONCEPT])="IS_CONCEPT"</f>
        <v>0</v>
      </c>
      <c r="R674" s="8" t="b">
        <f>_xlfn.XLOOKUP(CONTROL[[#This Row],[VEHIDCODE]],PROPERTIES[VEHIDCODE],PROPERTIES[EXCLUDE])</f>
        <v>0</v>
      </c>
    </row>
    <row r="675" spans="1:18">
      <c r="A675" s="2" t="s">
        <v>178</v>
      </c>
      <c r="B675" s="26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7" t="s">
        <v>445</v>
      </c>
      <c r="G675" t="s">
        <v>561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6" t="str">
        <f>"item_"&amp;CONTROL[[#This Row],[VEHIDCODE]]</f>
        <v>item_mu_Wagon_Gen4_Heavy_Flatcar</v>
      </c>
      <c r="P675" s="26" t="str">
        <f>"str_"&amp;CONTROL[[#This Row],[VEHIDCODE]]</f>
        <v>str_mu_Wagon_Gen4_Heavy_Flatcar</v>
      </c>
      <c r="Q675" s="8" t="b">
        <f>_xlfn.XLOOKUP(CONTROL[[#This Row],[VEHIDCODE]],PROPERTIES[VEHIDCODE],PROPERTIES[IS_CONCEPT])="IS_CONCEPT"</f>
        <v>0</v>
      </c>
      <c r="R675" s="8" t="b">
        <f>_xlfn.XLOOKUP(CONTROL[[#This Row],[VEHIDCODE]],PROPERTIES[VEHIDCODE],PROPERTIES[EXCLUDE])</f>
        <v>0</v>
      </c>
    </row>
    <row r="676" spans="1:18">
      <c r="A676" s="2" t="s">
        <v>179</v>
      </c>
      <c r="B676" s="26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7" t="s">
        <v>1726</v>
      </c>
      <c r="G676" t="s">
        <v>561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6" t="str">
        <f>"item_"&amp;CONTROL[[#This Row],[VEHIDCODE]]</f>
        <v>item_mu_Wagon_Gen4_Boxcar_Type1</v>
      </c>
      <c r="P676" s="26" t="str">
        <f>"str_"&amp;CONTROL[[#This Row],[VEHIDCODE]]</f>
        <v>str_mu_Wagon_Gen4_Boxcar_Type1</v>
      </c>
      <c r="Q676" s="8" t="b">
        <f>_xlfn.XLOOKUP(CONTROL[[#This Row],[VEHIDCODE]],PROPERTIES[VEHIDCODE],PROPERTIES[IS_CONCEPT])="IS_CONCEPT"</f>
        <v>0</v>
      </c>
      <c r="R676" s="8" t="b">
        <f>_xlfn.XLOOKUP(CONTROL[[#This Row],[VEHIDCODE]],PROPERTIES[VEHIDCODE],PROPERTIES[EXCLUDE])</f>
        <v>0</v>
      </c>
    </row>
    <row r="677" spans="1:18">
      <c r="A677" s="2" t="s">
        <v>180</v>
      </c>
      <c r="B677" s="26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7" t="s">
        <v>1741</v>
      </c>
      <c r="G677" t="s">
        <v>561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6" t="str">
        <f>"item_"&amp;CONTROL[[#This Row],[VEHIDCODE]]</f>
        <v>item_mu_Wagon_Gen4_Boxcar_Type2</v>
      </c>
      <c r="P677" s="26" t="str">
        <f>"str_"&amp;CONTROL[[#This Row],[VEHIDCODE]]</f>
        <v>str_mu_Wagon_Gen4_Boxcar_Type2</v>
      </c>
      <c r="Q677" s="8" t="b">
        <f>_xlfn.XLOOKUP(CONTROL[[#This Row],[VEHIDCODE]],PROPERTIES[VEHIDCODE],PROPERTIES[IS_CONCEPT])="IS_CONCEPT"</f>
        <v>0</v>
      </c>
      <c r="R677" s="8" t="b">
        <f>_xlfn.XLOOKUP(CONTROL[[#This Row],[VEHIDCODE]],PROPERTIES[VEHIDCODE],PROPERTIES[EXCLUDE])</f>
        <v>0</v>
      </c>
    </row>
    <row r="678" spans="1:18">
      <c r="A678" s="2" t="s">
        <v>181</v>
      </c>
      <c r="B678" s="26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7" t="s">
        <v>446</v>
      </c>
      <c r="G678" t="s">
        <v>561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6" t="str">
        <f>"item_"&amp;CONTROL[[#This Row],[VEHIDCODE]]</f>
        <v>item_mu_Wagon_Gen4_Tanker</v>
      </c>
      <c r="P678" s="26" t="str">
        <f>"str_"&amp;CONTROL[[#This Row],[VEHIDCODE]]</f>
        <v>str_mu_Wagon_Gen4_Tanker</v>
      </c>
      <c r="Q678" s="8" t="b">
        <f>_xlfn.XLOOKUP(CONTROL[[#This Row],[VEHIDCODE]],PROPERTIES[VEHIDCODE],PROPERTIES[IS_CONCEPT])="IS_CONCEPT"</f>
        <v>0</v>
      </c>
      <c r="R678" s="8" t="b">
        <f>_xlfn.XLOOKUP(CONTROL[[#This Row],[VEHIDCODE]],PROPERTIES[VEHIDCODE],PROPERTIES[EXCLUDE])</f>
        <v>0</v>
      </c>
    </row>
    <row r="679" spans="1:18">
      <c r="A679" s="2" t="s">
        <v>182</v>
      </c>
      <c r="B679" s="26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7" t="s">
        <v>447</v>
      </c>
      <c r="G679" t="s">
        <v>561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6" t="str">
        <f>"item_"&amp;CONTROL[[#This Row],[VEHIDCODE]]</f>
        <v>item_mu_Wagon_Gen4_Gondola</v>
      </c>
      <c r="P679" s="26" t="str">
        <f>"str_"&amp;CONTROL[[#This Row],[VEHIDCODE]]</f>
        <v>str_mu_Wagon_Gen4_Gondola</v>
      </c>
      <c r="Q679" s="8" t="b">
        <f>_xlfn.XLOOKUP(CONTROL[[#This Row],[VEHIDCODE]],PROPERTIES[VEHIDCODE],PROPERTIES[IS_CONCEPT])="IS_CONCEPT"</f>
        <v>0</v>
      </c>
      <c r="R679" s="8" t="b">
        <f>_xlfn.XLOOKUP(CONTROL[[#This Row],[VEHIDCODE]],PROPERTIES[VEHIDCODE],PROPERTIES[EXCLUDE])</f>
        <v>0</v>
      </c>
    </row>
    <row r="680" spans="1:18">
      <c r="A680" s="2" t="s">
        <v>183</v>
      </c>
      <c r="B680" s="26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7" t="s">
        <v>1727</v>
      </c>
      <c r="G680" t="s">
        <v>561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6" t="str">
        <f>"item_"&amp;CONTROL[[#This Row],[VEHIDCODE]]</f>
        <v>item_mu_Wagon_Gen4_Silo_Type1</v>
      </c>
      <c r="P680" s="26" t="str">
        <f>"str_"&amp;CONTROL[[#This Row],[VEHIDCODE]]</f>
        <v>str_mu_Wagon_Gen4_Silo_Type1</v>
      </c>
      <c r="Q680" s="8" t="b">
        <f>_xlfn.XLOOKUP(CONTROL[[#This Row],[VEHIDCODE]],PROPERTIES[VEHIDCODE],PROPERTIES[IS_CONCEPT])="IS_CONCEPT"</f>
        <v>0</v>
      </c>
      <c r="R680" s="8" t="b">
        <f>_xlfn.XLOOKUP(CONTROL[[#This Row],[VEHIDCODE]],PROPERTIES[VEHIDCODE],PROPERTIES[EXCLUDE])</f>
        <v>0</v>
      </c>
    </row>
    <row r="681" spans="1:18">
      <c r="A681" s="2" t="s">
        <v>184</v>
      </c>
      <c r="B681" s="26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7" t="s">
        <v>1742</v>
      </c>
      <c r="G681" t="s">
        <v>561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6" t="str">
        <f>"item_"&amp;CONTROL[[#This Row],[VEHIDCODE]]</f>
        <v>item_mu_Wagon_Gen4_Silo_Type2</v>
      </c>
      <c r="P681" s="26" t="str">
        <f>"str_"&amp;CONTROL[[#This Row],[VEHIDCODE]]</f>
        <v>str_mu_Wagon_Gen4_Silo_Type2</v>
      </c>
      <c r="Q681" s="8" t="b">
        <f>_xlfn.XLOOKUP(CONTROL[[#This Row],[VEHIDCODE]],PROPERTIES[VEHIDCODE],PROPERTIES[IS_CONCEPT])="IS_CONCEPT"</f>
        <v>0</v>
      </c>
      <c r="R681" s="8" t="b">
        <f>_xlfn.XLOOKUP(CONTROL[[#This Row],[VEHIDCODE]],PROPERTIES[VEHIDCODE],PROPERTIES[EXCLUDE])</f>
        <v>0</v>
      </c>
    </row>
    <row r="682" spans="1:18">
      <c r="A682" s="2" t="s">
        <v>185</v>
      </c>
      <c r="B682" s="26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7" t="s">
        <v>1728</v>
      </c>
      <c r="G682" t="s">
        <v>561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6" t="str">
        <f>"item_"&amp;CONTROL[[#This Row],[VEHIDCODE]]</f>
        <v>item_mu_Wagon_Gen4_Hopper_Type1</v>
      </c>
      <c r="P682" s="26" t="str">
        <f>"str_"&amp;CONTROL[[#This Row],[VEHIDCODE]]</f>
        <v>str_mu_Wagon_Gen4_Hopper_Type1</v>
      </c>
      <c r="Q682" s="8" t="b">
        <f>_xlfn.XLOOKUP(CONTROL[[#This Row],[VEHIDCODE]],PROPERTIES[VEHIDCODE],PROPERTIES[IS_CONCEPT])="IS_CONCEPT"</f>
        <v>0</v>
      </c>
      <c r="R682" s="8" t="b">
        <f>_xlfn.XLOOKUP(CONTROL[[#This Row],[VEHIDCODE]],PROPERTIES[VEHIDCODE],PROPERTIES[EXCLUDE])</f>
        <v>0</v>
      </c>
    </row>
    <row r="683" spans="1:18">
      <c r="A683" s="2" t="s">
        <v>186</v>
      </c>
      <c r="B683" s="26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7" t="s">
        <v>1743</v>
      </c>
      <c r="G683" t="s">
        <v>561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6" t="str">
        <f>"item_"&amp;CONTROL[[#This Row],[VEHIDCODE]]</f>
        <v>item_mu_Wagon_Gen4_Hopper_Type2</v>
      </c>
      <c r="P683" s="26" t="str">
        <f>"str_"&amp;CONTROL[[#This Row],[VEHIDCODE]]</f>
        <v>str_mu_Wagon_Gen4_Hopper_Type2</v>
      </c>
      <c r="Q683" s="8" t="b">
        <f>_xlfn.XLOOKUP(CONTROL[[#This Row],[VEHIDCODE]],PROPERTIES[VEHIDCODE],PROPERTIES[IS_CONCEPT])="IS_CONCEPT"</f>
        <v>0</v>
      </c>
      <c r="R683" s="8" t="b">
        <f>_xlfn.XLOOKUP(CONTROL[[#This Row],[VEHIDCODE]],PROPERTIES[VEHIDCODE],PROPERTIES[EXCLUDE])</f>
        <v>0</v>
      </c>
    </row>
    <row r="684" spans="1:18">
      <c r="A684" s="2" t="s">
        <v>187</v>
      </c>
      <c r="B684" s="26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7" t="s">
        <v>448</v>
      </c>
      <c r="G684" t="s">
        <v>561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6" t="str">
        <f>"item_"&amp;CONTROL[[#This Row],[VEHIDCODE]]</f>
        <v>item_mu_Wagon_Gen4_Car_Transporter</v>
      </c>
      <c r="P684" s="26" t="str">
        <f>"str_"&amp;CONTROL[[#This Row],[VEHIDCODE]]</f>
        <v>str_mu_Wagon_Gen4_Car_Transporter</v>
      </c>
      <c r="Q684" s="8" t="b">
        <f>_xlfn.XLOOKUP(CONTROL[[#This Row],[VEHIDCODE]],PROPERTIES[VEHIDCODE],PROPERTIES[IS_CONCEPT])="IS_CONCEPT"</f>
        <v>0</v>
      </c>
      <c r="R684" s="8" t="b">
        <f>_xlfn.XLOOKUP(CONTROL[[#This Row],[VEHIDCODE]],PROPERTIES[VEHIDCODE],PROPERTIES[EXCLUDE])</f>
        <v>0</v>
      </c>
    </row>
    <row r="685" spans="1:18">
      <c r="A685" s="2" t="s">
        <v>188</v>
      </c>
      <c r="B685" s="26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7" t="s">
        <v>449</v>
      </c>
      <c r="G685" t="s">
        <v>561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6" t="str">
        <f>"item_"&amp;CONTROL[[#This Row],[VEHIDCODE]]</f>
        <v>item_mu_Wagon_Gen4_Container_Carrier</v>
      </c>
      <c r="P685" s="26" t="str">
        <f>"str_"&amp;CONTROL[[#This Row],[VEHIDCODE]]</f>
        <v>str_mu_Wagon_Gen4_Container_Carrier</v>
      </c>
      <c r="Q685" s="8" t="b">
        <f>_xlfn.XLOOKUP(CONTROL[[#This Row],[VEHIDCODE]],PROPERTIES[VEHIDCODE],PROPERTIES[IS_CONCEPT])="IS_CONCEPT"</f>
        <v>0</v>
      </c>
      <c r="R685" s="8" t="b">
        <f>_xlfn.XLOOKUP(CONTROL[[#This Row],[VEHIDCODE]],PROPERTIES[VEHIDCODE],PROPERTIES[EXCLUDE])</f>
        <v>0</v>
      </c>
    </row>
    <row r="686" spans="1:18">
      <c r="A686" s="2" t="s">
        <v>189</v>
      </c>
      <c r="B686" s="26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7" t="s">
        <v>450</v>
      </c>
      <c r="G686" t="s">
        <v>561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6" t="str">
        <f>"item_"&amp;CONTROL[[#This Row],[VEHIDCODE]]</f>
        <v>item_mu_Wagon_Gen4_Centerbeam</v>
      </c>
      <c r="P686" s="26" t="str">
        <f>"str_"&amp;CONTROL[[#This Row],[VEHIDCODE]]</f>
        <v>str_mu_Wagon_Gen4_Centerbeam</v>
      </c>
      <c r="Q686" s="8" t="b">
        <f>_xlfn.XLOOKUP(CONTROL[[#This Row],[VEHIDCODE]],PROPERTIES[VEHIDCODE],PROPERTIES[IS_CONCEPT])="IS_CONCEPT"</f>
        <v>0</v>
      </c>
      <c r="R686" s="8" t="b">
        <f>_xlfn.XLOOKUP(CONTROL[[#This Row],[VEHIDCODE]],PROPERTIES[VEHIDCODE],PROPERTIES[EXCLUDE])</f>
        <v>0</v>
      </c>
    </row>
    <row r="687" spans="1:18">
      <c r="A687" s="2" t="s">
        <v>190</v>
      </c>
      <c r="B687" s="26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7" t="s">
        <v>451</v>
      </c>
      <c r="G687" t="s">
        <v>561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6" t="str">
        <f>"item_"&amp;CONTROL[[#This Row],[VEHIDCODE]]</f>
        <v>item_mu_Wagon_Gen5_Flatcar</v>
      </c>
      <c r="P687" s="26" t="str">
        <f>"str_"&amp;CONTROL[[#This Row],[VEHIDCODE]]</f>
        <v>str_mu_Wagon_Gen5_Flatcar</v>
      </c>
      <c r="Q687" s="8" t="b">
        <f>_xlfn.XLOOKUP(CONTROL[[#This Row],[VEHIDCODE]],PROPERTIES[VEHIDCODE],PROPERTIES[IS_CONCEPT])="IS_CONCEPT"</f>
        <v>0</v>
      </c>
      <c r="R687" s="8" t="b">
        <f>_xlfn.XLOOKUP(CONTROL[[#This Row],[VEHIDCODE]],PROPERTIES[VEHIDCODE],PROPERTIES[EXCLUDE])</f>
        <v>0</v>
      </c>
    </row>
    <row r="688" spans="1:18">
      <c r="A688" s="2" t="s">
        <v>191</v>
      </c>
      <c r="B688" s="26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7" t="s">
        <v>452</v>
      </c>
      <c r="G688" t="s">
        <v>561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6" t="str">
        <f>"item_"&amp;CONTROL[[#This Row],[VEHIDCODE]]</f>
        <v>item_mu_Wagon_Gen5_Heavy_Flatcar</v>
      </c>
      <c r="P688" s="26" t="str">
        <f>"str_"&amp;CONTROL[[#This Row],[VEHIDCODE]]</f>
        <v>str_mu_Wagon_Gen5_Heavy_Flatcar</v>
      </c>
      <c r="Q688" s="8" t="b">
        <f>_xlfn.XLOOKUP(CONTROL[[#This Row],[VEHIDCODE]],PROPERTIES[VEHIDCODE],PROPERTIES[IS_CONCEPT])="IS_CONCEPT"</f>
        <v>0</v>
      </c>
      <c r="R688" s="8" t="b">
        <f>_xlfn.XLOOKUP(CONTROL[[#This Row],[VEHIDCODE]],PROPERTIES[VEHIDCODE],PROPERTIES[EXCLUDE])</f>
        <v>0</v>
      </c>
    </row>
    <row r="689" spans="1:18">
      <c r="A689" s="2" t="s">
        <v>192</v>
      </c>
      <c r="B689" s="26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7" t="s">
        <v>1729</v>
      </c>
      <c r="G689" t="s">
        <v>561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6" t="str">
        <f>"item_"&amp;CONTROL[[#This Row],[VEHIDCODE]]</f>
        <v>item_mu_Wagon_Gen5_Boxcar_Type1</v>
      </c>
      <c r="P689" s="26" t="str">
        <f>"str_"&amp;CONTROL[[#This Row],[VEHIDCODE]]</f>
        <v>str_mu_Wagon_Gen5_Boxcar_Type1</v>
      </c>
      <c r="Q689" s="8" t="b">
        <f>_xlfn.XLOOKUP(CONTROL[[#This Row],[VEHIDCODE]],PROPERTIES[VEHIDCODE],PROPERTIES[IS_CONCEPT])="IS_CONCEPT"</f>
        <v>0</v>
      </c>
      <c r="R689" s="8" t="b">
        <f>_xlfn.XLOOKUP(CONTROL[[#This Row],[VEHIDCODE]],PROPERTIES[VEHIDCODE],PROPERTIES[EXCLUDE])</f>
        <v>0</v>
      </c>
    </row>
    <row r="690" spans="1:18">
      <c r="A690" s="2" t="s">
        <v>193</v>
      </c>
      <c r="B690" s="26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7" t="s">
        <v>1744</v>
      </c>
      <c r="G690" t="s">
        <v>561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6" t="str">
        <f>"item_"&amp;CONTROL[[#This Row],[VEHIDCODE]]</f>
        <v>item_mu_Wagon_Gen5_Boxcar_Type2</v>
      </c>
      <c r="P690" s="26" t="str">
        <f>"str_"&amp;CONTROL[[#This Row],[VEHIDCODE]]</f>
        <v>str_mu_Wagon_Gen5_Boxcar_Type2</v>
      </c>
      <c r="Q690" s="8" t="b">
        <f>_xlfn.XLOOKUP(CONTROL[[#This Row],[VEHIDCODE]],PROPERTIES[VEHIDCODE],PROPERTIES[IS_CONCEPT])="IS_CONCEPT"</f>
        <v>0</v>
      </c>
      <c r="R690" s="8" t="b">
        <f>_xlfn.XLOOKUP(CONTROL[[#This Row],[VEHIDCODE]],PROPERTIES[VEHIDCODE],PROPERTIES[EXCLUDE])</f>
        <v>0</v>
      </c>
    </row>
    <row r="691" spans="1:18">
      <c r="A691" s="2" t="s">
        <v>194</v>
      </c>
      <c r="B691" s="26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7" t="s">
        <v>453</v>
      </c>
      <c r="G691" t="s">
        <v>561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6" t="str">
        <f>"item_"&amp;CONTROL[[#This Row],[VEHIDCODE]]</f>
        <v>item_mu_Wagon_Gen5_Tanker</v>
      </c>
      <c r="P691" s="26" t="str">
        <f>"str_"&amp;CONTROL[[#This Row],[VEHIDCODE]]</f>
        <v>str_mu_Wagon_Gen5_Tanker</v>
      </c>
      <c r="Q691" s="8" t="b">
        <f>_xlfn.XLOOKUP(CONTROL[[#This Row],[VEHIDCODE]],PROPERTIES[VEHIDCODE],PROPERTIES[IS_CONCEPT])="IS_CONCEPT"</f>
        <v>0</v>
      </c>
      <c r="R691" s="8" t="b">
        <f>_xlfn.XLOOKUP(CONTROL[[#This Row],[VEHIDCODE]],PROPERTIES[VEHIDCODE],PROPERTIES[EXCLUDE])</f>
        <v>0</v>
      </c>
    </row>
    <row r="692" spans="1:18">
      <c r="A692" s="2" t="s">
        <v>195</v>
      </c>
      <c r="B692" s="26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7" t="s">
        <v>454</v>
      </c>
      <c r="G692" t="s">
        <v>561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6" t="str">
        <f>"item_"&amp;CONTROL[[#This Row],[VEHIDCODE]]</f>
        <v>item_mu_Wagon_Gen5_Gondola</v>
      </c>
      <c r="P692" s="26" t="str">
        <f>"str_"&amp;CONTROL[[#This Row],[VEHIDCODE]]</f>
        <v>str_mu_Wagon_Gen5_Gondola</v>
      </c>
      <c r="Q692" s="8" t="b">
        <f>_xlfn.XLOOKUP(CONTROL[[#This Row],[VEHIDCODE]],PROPERTIES[VEHIDCODE],PROPERTIES[IS_CONCEPT])="IS_CONCEPT"</f>
        <v>0</v>
      </c>
      <c r="R692" s="8" t="b">
        <f>_xlfn.XLOOKUP(CONTROL[[#This Row],[VEHIDCODE]],PROPERTIES[VEHIDCODE],PROPERTIES[EXCLUDE])</f>
        <v>0</v>
      </c>
    </row>
    <row r="693" spans="1:18">
      <c r="A693" s="2" t="s">
        <v>196</v>
      </c>
      <c r="B693" s="26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7" t="s">
        <v>1730</v>
      </c>
      <c r="G693" t="s">
        <v>561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6" t="str">
        <f>"item_"&amp;CONTROL[[#This Row],[VEHIDCODE]]</f>
        <v>item_mu_Wagon_Gen5_Silo_Type1</v>
      </c>
      <c r="P693" s="26" t="str">
        <f>"str_"&amp;CONTROL[[#This Row],[VEHIDCODE]]</f>
        <v>str_mu_Wagon_Gen5_Silo_Type1</v>
      </c>
      <c r="Q693" s="8" t="b">
        <f>_xlfn.XLOOKUP(CONTROL[[#This Row],[VEHIDCODE]],PROPERTIES[VEHIDCODE],PROPERTIES[IS_CONCEPT])="IS_CONCEPT"</f>
        <v>0</v>
      </c>
      <c r="R693" s="8" t="b">
        <f>_xlfn.XLOOKUP(CONTROL[[#This Row],[VEHIDCODE]],PROPERTIES[VEHIDCODE],PROPERTIES[EXCLUDE])</f>
        <v>0</v>
      </c>
    </row>
    <row r="694" spans="1:18">
      <c r="A694" s="2" t="s">
        <v>197</v>
      </c>
      <c r="B694" s="26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7" t="s">
        <v>1745</v>
      </c>
      <c r="G694" t="s">
        <v>561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6" t="str">
        <f>"item_"&amp;CONTROL[[#This Row],[VEHIDCODE]]</f>
        <v>item_mu_Wagon_Gen5_Silo_Type2</v>
      </c>
      <c r="P694" s="26" t="str">
        <f>"str_"&amp;CONTROL[[#This Row],[VEHIDCODE]]</f>
        <v>str_mu_Wagon_Gen5_Silo_Type2</v>
      </c>
      <c r="Q694" s="8" t="b">
        <f>_xlfn.XLOOKUP(CONTROL[[#This Row],[VEHIDCODE]],PROPERTIES[VEHIDCODE],PROPERTIES[IS_CONCEPT])="IS_CONCEPT"</f>
        <v>0</v>
      </c>
      <c r="R694" s="8" t="b">
        <f>_xlfn.XLOOKUP(CONTROL[[#This Row],[VEHIDCODE]],PROPERTIES[VEHIDCODE],PROPERTIES[EXCLUDE])</f>
        <v>0</v>
      </c>
    </row>
    <row r="695" spans="1:18">
      <c r="A695" s="2" t="s">
        <v>198</v>
      </c>
      <c r="B695" s="26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7" t="s">
        <v>1731</v>
      </c>
      <c r="G695" t="s">
        <v>561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6" t="str">
        <f>"item_"&amp;CONTROL[[#This Row],[VEHIDCODE]]</f>
        <v>item_mu_Wagon_Gen5_Hopper_Type1</v>
      </c>
      <c r="P695" s="26" t="str">
        <f>"str_"&amp;CONTROL[[#This Row],[VEHIDCODE]]</f>
        <v>str_mu_Wagon_Gen5_Hopper_Type1</v>
      </c>
      <c r="Q695" s="8" t="b">
        <f>_xlfn.XLOOKUP(CONTROL[[#This Row],[VEHIDCODE]],PROPERTIES[VEHIDCODE],PROPERTIES[IS_CONCEPT])="IS_CONCEPT"</f>
        <v>0</v>
      </c>
      <c r="R695" s="8" t="b">
        <f>_xlfn.XLOOKUP(CONTROL[[#This Row],[VEHIDCODE]],PROPERTIES[VEHIDCODE],PROPERTIES[EXCLUDE])</f>
        <v>0</v>
      </c>
    </row>
    <row r="696" spans="1:18">
      <c r="A696" s="2" t="s">
        <v>199</v>
      </c>
      <c r="B696" s="26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7" t="s">
        <v>1746</v>
      </c>
      <c r="G696" t="s">
        <v>561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6" t="str">
        <f>"item_"&amp;CONTROL[[#This Row],[VEHIDCODE]]</f>
        <v>item_mu_Wagon_Gen5_Hopper_Type2</v>
      </c>
      <c r="P696" s="26" t="str">
        <f>"str_"&amp;CONTROL[[#This Row],[VEHIDCODE]]</f>
        <v>str_mu_Wagon_Gen5_Hopper_Type2</v>
      </c>
      <c r="Q696" s="8" t="b">
        <f>_xlfn.XLOOKUP(CONTROL[[#This Row],[VEHIDCODE]],PROPERTIES[VEHIDCODE],PROPERTIES[IS_CONCEPT])="IS_CONCEPT"</f>
        <v>0</v>
      </c>
      <c r="R696" s="8" t="b">
        <f>_xlfn.XLOOKUP(CONTROL[[#This Row],[VEHIDCODE]],PROPERTIES[VEHIDCODE],PROPERTIES[EXCLUDE])</f>
        <v>0</v>
      </c>
    </row>
    <row r="697" spans="1:18">
      <c r="A697" s="2" t="s">
        <v>200</v>
      </c>
      <c r="B697" s="26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7" t="s">
        <v>455</v>
      </c>
      <c r="G697" t="s">
        <v>561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6" t="str">
        <f>"item_"&amp;CONTROL[[#This Row],[VEHIDCODE]]</f>
        <v>item_mu_Wagon_Gen5_Car_Transporter</v>
      </c>
      <c r="P697" s="26" t="str">
        <f>"str_"&amp;CONTROL[[#This Row],[VEHIDCODE]]</f>
        <v>str_mu_Wagon_Gen5_Car_Transporter</v>
      </c>
      <c r="Q697" s="8" t="b">
        <f>_xlfn.XLOOKUP(CONTROL[[#This Row],[VEHIDCODE]],PROPERTIES[VEHIDCODE],PROPERTIES[IS_CONCEPT])="IS_CONCEPT"</f>
        <v>0</v>
      </c>
      <c r="R697" s="8" t="b">
        <f>_xlfn.XLOOKUP(CONTROL[[#This Row],[VEHIDCODE]],PROPERTIES[VEHIDCODE],PROPERTIES[EXCLUDE])</f>
        <v>0</v>
      </c>
    </row>
    <row r="698" spans="1:18">
      <c r="A698" s="2" t="s">
        <v>201</v>
      </c>
      <c r="B698" s="26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7" t="s">
        <v>456</v>
      </c>
      <c r="G698" t="s">
        <v>561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6" t="str">
        <f>"item_"&amp;CONTROL[[#This Row],[VEHIDCODE]]</f>
        <v>item_mu_Wagon_Gen5_Container_Carrier</v>
      </c>
      <c r="P698" s="26" t="str">
        <f>"str_"&amp;CONTROL[[#This Row],[VEHIDCODE]]</f>
        <v>str_mu_Wagon_Gen5_Container_Carrier</v>
      </c>
      <c r="Q698" s="8" t="b">
        <f>_xlfn.XLOOKUP(CONTROL[[#This Row],[VEHIDCODE]],PROPERTIES[VEHIDCODE],PROPERTIES[IS_CONCEPT])="IS_CONCEPT"</f>
        <v>0</v>
      </c>
      <c r="R698" s="8" t="b">
        <f>_xlfn.XLOOKUP(CONTROL[[#This Row],[VEHIDCODE]],PROPERTIES[VEHIDCODE],PROPERTIES[EXCLUDE])</f>
        <v>0</v>
      </c>
    </row>
    <row r="699" spans="1:18">
      <c r="A699" s="2" t="s">
        <v>202</v>
      </c>
      <c r="B699" s="26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7" t="s">
        <v>457</v>
      </c>
      <c r="G699" t="s">
        <v>561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6" t="str">
        <f>"item_"&amp;CONTROL[[#This Row],[VEHIDCODE]]</f>
        <v>item_mu_Wagon_Gen5_Centerbeam</v>
      </c>
      <c r="P699" s="26" t="str">
        <f>"str_"&amp;CONTROL[[#This Row],[VEHIDCODE]]</f>
        <v>str_mu_Wagon_Gen5_Centerbeam</v>
      </c>
      <c r="Q699" s="8" t="b">
        <f>_xlfn.XLOOKUP(CONTROL[[#This Row],[VEHIDCODE]],PROPERTIES[VEHIDCODE],PROPERTIES[IS_CONCEPT])="IS_CONCEPT"</f>
        <v>0</v>
      </c>
      <c r="R699" s="8" t="b">
        <f>_xlfn.XLOOKUP(CONTROL[[#This Row],[VEHIDCODE]],PROPERTIES[VEHIDCODE],PROPERTIES[EXCLUDE])</f>
        <v>0</v>
      </c>
    </row>
    <row r="700" spans="1:18">
      <c r="A700" s="2" t="s">
        <v>203</v>
      </c>
      <c r="B700" s="26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7" t="s">
        <v>458</v>
      </c>
      <c r="G700" t="s">
        <v>561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6" t="str">
        <f>"item_"&amp;CONTROL[[#This Row],[VEHIDCODE]]</f>
        <v>item_mu_Wagon_Gen5_Container_Doublestack</v>
      </c>
      <c r="P700" s="26" t="str">
        <f>"str_"&amp;CONTROL[[#This Row],[VEHIDCODE]]</f>
        <v>str_mu_Wagon_Gen5_Container_Doublestack</v>
      </c>
      <c r="Q700" s="8" t="b">
        <f>_xlfn.XLOOKUP(CONTROL[[#This Row],[VEHIDCODE]],PROPERTIES[VEHIDCODE],PROPERTIES[IS_CONCEPT])="IS_CONCEPT"</f>
        <v>0</v>
      </c>
      <c r="R700" s="8" t="b">
        <f>_xlfn.XLOOKUP(CONTROL[[#This Row],[VEHIDCODE]],PROPERTIES[VEHIDCODE],PROPERTIES[EXCLUDE])</f>
        <v>0</v>
      </c>
    </row>
    <row r="701" spans="1:18">
      <c r="A701" s="2" t="s">
        <v>204</v>
      </c>
      <c r="B701" s="26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7" t="s">
        <v>459</v>
      </c>
      <c r="G701" t="s">
        <v>561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6" t="str">
        <f>"item_"&amp;CONTROL[[#This Row],[VEHIDCODE]]</f>
        <v>item_mu_Wagon_Gen5_Superheavy_Flatcar</v>
      </c>
      <c r="P701" s="26" t="str">
        <f>"str_"&amp;CONTROL[[#This Row],[VEHIDCODE]]</f>
        <v>str_mu_Wagon_Gen5_Superheavy_Flatcar</v>
      </c>
      <c r="Q701" s="8" t="b">
        <f>_xlfn.XLOOKUP(CONTROL[[#This Row],[VEHIDCODE]],PROPERTIES[VEHIDCODE],PROPERTIES[IS_CONCEPT])="IS_CONCEPT"</f>
        <v>0</v>
      </c>
      <c r="R701" s="8" t="b">
        <f>_xlfn.XLOOKUP(CONTROL[[#This Row],[VEHIDCODE]],PROPERTIES[VEHIDCODE],PROPERTIES[EXCLUDE])</f>
        <v>0</v>
      </c>
    </row>
    <row r="702" spans="1:18">
      <c r="A702" s="2" t="s">
        <v>205</v>
      </c>
      <c r="B702" s="26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7" t="s">
        <v>460</v>
      </c>
      <c r="G702" t="s">
        <v>561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6" t="str">
        <f>"item_"&amp;CONTROL[[#This Row],[VEHIDCODE]]</f>
        <v>item_mu_Wagon_Gen6_Flatcar</v>
      </c>
      <c r="P702" s="26" t="str">
        <f>"str_"&amp;CONTROL[[#This Row],[VEHIDCODE]]</f>
        <v>str_mu_Wagon_Gen6_Flatcar</v>
      </c>
      <c r="Q702" s="8" t="b">
        <f>_xlfn.XLOOKUP(CONTROL[[#This Row],[VEHIDCODE]],PROPERTIES[VEHIDCODE],PROPERTIES[IS_CONCEPT])="IS_CONCEPT"</f>
        <v>0</v>
      </c>
      <c r="R702" s="8" t="b">
        <f>_xlfn.XLOOKUP(CONTROL[[#This Row],[VEHIDCODE]],PROPERTIES[VEHIDCODE],PROPERTIES[EXCLUDE])</f>
        <v>0</v>
      </c>
    </row>
    <row r="703" spans="1:18">
      <c r="A703" s="2" t="s">
        <v>206</v>
      </c>
      <c r="B703" s="26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7" t="s">
        <v>461</v>
      </c>
      <c r="G703" t="s">
        <v>561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6" t="str">
        <f>"item_"&amp;CONTROL[[#This Row],[VEHIDCODE]]</f>
        <v>item_mu_Wagon_Gen6_Heavy_Flatcar</v>
      </c>
      <c r="P703" s="26" t="str">
        <f>"str_"&amp;CONTROL[[#This Row],[VEHIDCODE]]</f>
        <v>str_mu_Wagon_Gen6_Heavy_Flatcar</v>
      </c>
      <c r="Q703" s="8" t="b">
        <f>_xlfn.XLOOKUP(CONTROL[[#This Row],[VEHIDCODE]],PROPERTIES[VEHIDCODE],PROPERTIES[IS_CONCEPT])="IS_CONCEPT"</f>
        <v>0</v>
      </c>
      <c r="R703" s="8" t="b">
        <f>_xlfn.XLOOKUP(CONTROL[[#This Row],[VEHIDCODE]],PROPERTIES[VEHIDCODE],PROPERTIES[EXCLUDE])</f>
        <v>0</v>
      </c>
    </row>
    <row r="704" spans="1:18">
      <c r="A704" s="2" t="s">
        <v>207</v>
      </c>
      <c r="B704" s="26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7" t="s">
        <v>1732</v>
      </c>
      <c r="G704" t="s">
        <v>561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6" t="str">
        <f>"item_"&amp;CONTROL[[#This Row],[VEHIDCODE]]</f>
        <v>item_mu_Wagon_Gen6_Boxcar_Type1</v>
      </c>
      <c r="P704" s="26" t="str">
        <f>"str_"&amp;CONTROL[[#This Row],[VEHIDCODE]]</f>
        <v>str_mu_Wagon_Gen6_Boxcar_Type1</v>
      </c>
      <c r="Q704" s="8" t="b">
        <f>_xlfn.XLOOKUP(CONTROL[[#This Row],[VEHIDCODE]],PROPERTIES[VEHIDCODE],PROPERTIES[IS_CONCEPT])="IS_CONCEPT"</f>
        <v>0</v>
      </c>
      <c r="R704" s="8" t="b">
        <f>_xlfn.XLOOKUP(CONTROL[[#This Row],[VEHIDCODE]],PROPERTIES[VEHIDCODE],PROPERTIES[EXCLUDE])</f>
        <v>0</v>
      </c>
    </row>
    <row r="705" spans="1:18">
      <c r="A705" s="2" t="s">
        <v>208</v>
      </c>
      <c r="B705" s="26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7" t="s">
        <v>1747</v>
      </c>
      <c r="G705" t="s">
        <v>561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6" t="str">
        <f>"item_"&amp;CONTROL[[#This Row],[VEHIDCODE]]</f>
        <v>item_mu_Wagon_Gen6_Boxcar_Type2</v>
      </c>
      <c r="P705" s="26" t="str">
        <f>"str_"&amp;CONTROL[[#This Row],[VEHIDCODE]]</f>
        <v>str_mu_Wagon_Gen6_Boxcar_Type2</v>
      </c>
      <c r="Q705" s="8" t="b">
        <f>_xlfn.XLOOKUP(CONTROL[[#This Row],[VEHIDCODE]],PROPERTIES[VEHIDCODE],PROPERTIES[IS_CONCEPT])="IS_CONCEPT"</f>
        <v>0</v>
      </c>
      <c r="R705" s="8" t="b">
        <f>_xlfn.XLOOKUP(CONTROL[[#This Row],[VEHIDCODE]],PROPERTIES[VEHIDCODE],PROPERTIES[EXCLUDE])</f>
        <v>0</v>
      </c>
    </row>
    <row r="706" spans="1:18">
      <c r="A706" s="2" t="s">
        <v>209</v>
      </c>
      <c r="B706" s="26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7" t="s">
        <v>462</v>
      </c>
      <c r="G706" t="s">
        <v>561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6" t="str">
        <f>"item_"&amp;CONTROL[[#This Row],[VEHIDCODE]]</f>
        <v>item_mu_Wagon_Gen6_Tanker</v>
      </c>
      <c r="P706" s="26" t="str">
        <f>"str_"&amp;CONTROL[[#This Row],[VEHIDCODE]]</f>
        <v>str_mu_Wagon_Gen6_Tanker</v>
      </c>
      <c r="Q706" s="8" t="b">
        <f>_xlfn.XLOOKUP(CONTROL[[#This Row],[VEHIDCODE]],PROPERTIES[VEHIDCODE],PROPERTIES[IS_CONCEPT])="IS_CONCEPT"</f>
        <v>0</v>
      </c>
      <c r="R706" s="8" t="b">
        <f>_xlfn.XLOOKUP(CONTROL[[#This Row],[VEHIDCODE]],PROPERTIES[VEHIDCODE],PROPERTIES[EXCLUDE])</f>
        <v>0</v>
      </c>
    </row>
    <row r="707" spans="1:18">
      <c r="A707" s="2" t="s">
        <v>210</v>
      </c>
      <c r="B707" s="26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7" t="s">
        <v>463</v>
      </c>
      <c r="G707" t="s">
        <v>561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6" t="str">
        <f>"item_"&amp;CONTROL[[#This Row],[VEHIDCODE]]</f>
        <v>item_mu_Wagon_Gen6_Gondola</v>
      </c>
      <c r="P707" s="26" t="str">
        <f>"str_"&amp;CONTROL[[#This Row],[VEHIDCODE]]</f>
        <v>str_mu_Wagon_Gen6_Gondola</v>
      </c>
      <c r="Q707" s="8" t="b">
        <f>_xlfn.XLOOKUP(CONTROL[[#This Row],[VEHIDCODE]],PROPERTIES[VEHIDCODE],PROPERTIES[IS_CONCEPT])="IS_CONCEPT"</f>
        <v>0</v>
      </c>
      <c r="R707" s="8" t="b">
        <f>_xlfn.XLOOKUP(CONTROL[[#This Row],[VEHIDCODE]],PROPERTIES[VEHIDCODE],PROPERTIES[EXCLUDE])</f>
        <v>0</v>
      </c>
    </row>
    <row r="708" spans="1:18">
      <c r="A708" s="2" t="s">
        <v>211</v>
      </c>
      <c r="B708" s="26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7" t="s">
        <v>1733</v>
      </c>
      <c r="G708" t="s">
        <v>561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6" t="str">
        <f>"item_"&amp;CONTROL[[#This Row],[VEHIDCODE]]</f>
        <v>item_mu_Wagon_Gen6_Silo_Type1</v>
      </c>
      <c r="P708" s="26" t="str">
        <f>"str_"&amp;CONTROL[[#This Row],[VEHIDCODE]]</f>
        <v>str_mu_Wagon_Gen6_Silo_Type1</v>
      </c>
      <c r="Q708" s="8" t="b">
        <f>_xlfn.XLOOKUP(CONTROL[[#This Row],[VEHIDCODE]],PROPERTIES[VEHIDCODE],PROPERTIES[IS_CONCEPT])="IS_CONCEPT"</f>
        <v>0</v>
      </c>
      <c r="R708" s="8" t="b">
        <f>_xlfn.XLOOKUP(CONTROL[[#This Row],[VEHIDCODE]],PROPERTIES[VEHIDCODE],PROPERTIES[EXCLUDE])</f>
        <v>0</v>
      </c>
    </row>
    <row r="709" spans="1:18">
      <c r="A709" s="2" t="s">
        <v>212</v>
      </c>
      <c r="B709" s="26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7" t="s">
        <v>1748</v>
      </c>
      <c r="G709" t="s">
        <v>561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6" t="str">
        <f>"item_"&amp;CONTROL[[#This Row],[VEHIDCODE]]</f>
        <v>item_mu_Wagon_Gen6_Silo_Type2</v>
      </c>
      <c r="P709" s="26" t="str">
        <f>"str_"&amp;CONTROL[[#This Row],[VEHIDCODE]]</f>
        <v>str_mu_Wagon_Gen6_Silo_Type2</v>
      </c>
      <c r="Q709" s="8" t="b">
        <f>_xlfn.XLOOKUP(CONTROL[[#This Row],[VEHIDCODE]],PROPERTIES[VEHIDCODE],PROPERTIES[IS_CONCEPT])="IS_CONCEPT"</f>
        <v>0</v>
      </c>
      <c r="R709" s="8" t="b">
        <f>_xlfn.XLOOKUP(CONTROL[[#This Row],[VEHIDCODE]],PROPERTIES[VEHIDCODE],PROPERTIES[EXCLUDE])</f>
        <v>0</v>
      </c>
    </row>
    <row r="710" spans="1:18">
      <c r="A710" s="2" t="s">
        <v>213</v>
      </c>
      <c r="B710" s="26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7" t="s">
        <v>1734</v>
      </c>
      <c r="G710" t="s">
        <v>561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6" t="str">
        <f>"item_"&amp;CONTROL[[#This Row],[VEHIDCODE]]</f>
        <v>item_mu_Wagon_Gen6_Hopper_Type1</v>
      </c>
      <c r="P710" s="26" t="str">
        <f>"str_"&amp;CONTROL[[#This Row],[VEHIDCODE]]</f>
        <v>str_mu_Wagon_Gen6_Hopper_Type1</v>
      </c>
      <c r="Q710" s="8" t="b">
        <f>_xlfn.XLOOKUP(CONTROL[[#This Row],[VEHIDCODE]],PROPERTIES[VEHIDCODE],PROPERTIES[IS_CONCEPT])="IS_CONCEPT"</f>
        <v>0</v>
      </c>
      <c r="R710" s="8" t="b">
        <f>_xlfn.XLOOKUP(CONTROL[[#This Row],[VEHIDCODE]],PROPERTIES[VEHIDCODE],PROPERTIES[EXCLUDE])</f>
        <v>0</v>
      </c>
    </row>
    <row r="711" spans="1:18">
      <c r="A711" s="2" t="s">
        <v>214</v>
      </c>
      <c r="B711" s="26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7" t="s">
        <v>1749</v>
      </c>
      <c r="G711" t="s">
        <v>561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6" t="str">
        <f>"item_"&amp;CONTROL[[#This Row],[VEHIDCODE]]</f>
        <v>item_mu_Wagon_Gen6_Hopper_Type2</v>
      </c>
      <c r="P711" s="26" t="str">
        <f>"str_"&amp;CONTROL[[#This Row],[VEHIDCODE]]</f>
        <v>str_mu_Wagon_Gen6_Hopper_Type2</v>
      </c>
      <c r="Q711" s="8" t="b">
        <f>_xlfn.XLOOKUP(CONTROL[[#This Row],[VEHIDCODE]],PROPERTIES[VEHIDCODE],PROPERTIES[IS_CONCEPT])="IS_CONCEPT"</f>
        <v>0</v>
      </c>
      <c r="R711" s="8" t="b">
        <f>_xlfn.XLOOKUP(CONTROL[[#This Row],[VEHIDCODE]],PROPERTIES[VEHIDCODE],PROPERTIES[EXCLUDE])</f>
        <v>0</v>
      </c>
    </row>
    <row r="712" spans="1:18">
      <c r="A712" s="2" t="s">
        <v>215</v>
      </c>
      <c r="B712" s="26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7" t="s">
        <v>464</v>
      </c>
      <c r="G712" t="s">
        <v>561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6" t="str">
        <f>"item_"&amp;CONTROL[[#This Row],[VEHIDCODE]]</f>
        <v>item_mu_Wagon_Gen6_Car_Transporter</v>
      </c>
      <c r="P712" s="26" t="str">
        <f>"str_"&amp;CONTROL[[#This Row],[VEHIDCODE]]</f>
        <v>str_mu_Wagon_Gen6_Car_Transporter</v>
      </c>
      <c r="Q712" s="8" t="b">
        <f>_xlfn.XLOOKUP(CONTROL[[#This Row],[VEHIDCODE]],PROPERTIES[VEHIDCODE],PROPERTIES[IS_CONCEPT])="IS_CONCEPT"</f>
        <v>0</v>
      </c>
      <c r="R712" s="8" t="b">
        <f>_xlfn.XLOOKUP(CONTROL[[#This Row],[VEHIDCODE]],PROPERTIES[VEHIDCODE],PROPERTIES[EXCLUDE])</f>
        <v>0</v>
      </c>
    </row>
    <row r="713" spans="1:18">
      <c r="A713" s="2" t="s">
        <v>216</v>
      </c>
      <c r="B713" s="26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7" t="s">
        <v>465</v>
      </c>
      <c r="G713" t="s">
        <v>561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6" t="str">
        <f>"item_"&amp;CONTROL[[#This Row],[VEHIDCODE]]</f>
        <v>item_mu_Wagon_Gen6_Container_Carrier</v>
      </c>
      <c r="P713" s="26" t="str">
        <f>"str_"&amp;CONTROL[[#This Row],[VEHIDCODE]]</f>
        <v>str_mu_Wagon_Gen6_Container_Carrier</v>
      </c>
      <c r="Q713" s="8" t="b">
        <f>_xlfn.XLOOKUP(CONTROL[[#This Row],[VEHIDCODE]],PROPERTIES[VEHIDCODE],PROPERTIES[IS_CONCEPT])="IS_CONCEPT"</f>
        <v>0</v>
      </c>
      <c r="R713" s="8" t="b">
        <f>_xlfn.XLOOKUP(CONTROL[[#This Row],[VEHIDCODE]],PROPERTIES[VEHIDCODE],PROPERTIES[EXCLUDE])</f>
        <v>0</v>
      </c>
    </row>
    <row r="714" spans="1:18">
      <c r="A714" s="2" t="s">
        <v>217</v>
      </c>
      <c r="B714" s="26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7" t="s">
        <v>466</v>
      </c>
      <c r="G714" t="s">
        <v>561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6" t="str">
        <f>"item_"&amp;CONTROL[[#This Row],[VEHIDCODE]]</f>
        <v>item_mu_Wagon_Gen6_Centerbeam</v>
      </c>
      <c r="P714" s="26" t="str">
        <f>"str_"&amp;CONTROL[[#This Row],[VEHIDCODE]]</f>
        <v>str_mu_Wagon_Gen6_Centerbeam</v>
      </c>
      <c r="Q714" s="8" t="b">
        <f>_xlfn.XLOOKUP(CONTROL[[#This Row],[VEHIDCODE]],PROPERTIES[VEHIDCODE],PROPERTIES[IS_CONCEPT])="IS_CONCEPT"</f>
        <v>0</v>
      </c>
      <c r="R714" s="8" t="b">
        <f>_xlfn.XLOOKUP(CONTROL[[#This Row],[VEHIDCODE]],PROPERTIES[VEHIDCODE],PROPERTIES[EXCLUDE])</f>
        <v>0</v>
      </c>
    </row>
    <row r="715" spans="1:18">
      <c r="A715" s="2" t="s">
        <v>218</v>
      </c>
      <c r="B715" s="26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7" t="s">
        <v>467</v>
      </c>
      <c r="G715" t="s">
        <v>561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6" t="str">
        <f>"item_"&amp;CONTROL[[#This Row],[VEHIDCODE]]</f>
        <v>item_mu_Wagon_Gen6_Container_Doublestack</v>
      </c>
      <c r="P715" s="26" t="str">
        <f>"str_"&amp;CONTROL[[#This Row],[VEHIDCODE]]</f>
        <v>str_mu_Wagon_Gen6_Container_Doublestack</v>
      </c>
      <c r="Q715" s="8" t="b">
        <f>_xlfn.XLOOKUP(CONTROL[[#This Row],[VEHIDCODE]],PROPERTIES[VEHIDCODE],PROPERTIES[IS_CONCEPT])="IS_CONCEPT"</f>
        <v>0</v>
      </c>
      <c r="R715" s="8" t="b">
        <f>_xlfn.XLOOKUP(CONTROL[[#This Row],[VEHIDCODE]],PROPERTIES[VEHIDCODE],PROPERTIES[EXCLUDE])</f>
        <v>0</v>
      </c>
    </row>
    <row r="716" spans="1:18">
      <c r="A716" s="2" t="s">
        <v>219</v>
      </c>
      <c r="B716" s="26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7" t="s">
        <v>468</v>
      </c>
      <c r="G716" t="s">
        <v>561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6" t="str">
        <f>"item_"&amp;CONTROL[[#This Row],[VEHIDCODE]]</f>
        <v>item_mu_Wagon_Gen6_Superheavy_Flatcar</v>
      </c>
      <c r="P716" s="26" t="str">
        <f>"str_"&amp;CONTROL[[#This Row],[VEHIDCODE]]</f>
        <v>str_mu_Wagon_Gen6_Superheavy_Flatcar</v>
      </c>
      <c r="Q716" s="8" t="b">
        <f>_xlfn.XLOOKUP(CONTROL[[#This Row],[VEHIDCODE]],PROPERTIES[VEHIDCODE],PROPERTIES[IS_CONCEPT])="IS_CONCEPT"</f>
        <v>0</v>
      </c>
      <c r="R716" s="8" t="b">
        <f>_xlfn.XLOOKUP(CONTROL[[#This Row],[VEHIDCODE]],PROPERTIES[VEHIDCODE],PROPERTIES[EXCLUDE])</f>
        <v>0</v>
      </c>
    </row>
    <row r="717" spans="1:18">
      <c r="A717" s="2" t="s">
        <v>234</v>
      </c>
      <c r="B717" s="26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7" t="s">
        <v>3650</v>
      </c>
      <c r="G717" t="s">
        <v>561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6" t="str">
        <f>"item_"&amp;CONTROL[[#This Row],[VEHIDCODE]]</f>
        <v>item_mu_Wagon_Service_Car_Type1</v>
      </c>
      <c r="P717" s="26" t="str">
        <f>"str_"&amp;CONTROL[[#This Row],[VEHIDCODE]]</f>
        <v>str_mu_Wagon_Service_Car_Type1</v>
      </c>
      <c r="Q717" s="8" t="b">
        <f>_xlfn.XLOOKUP(CONTROL[[#This Row],[VEHIDCODE]],PROPERTIES[VEHIDCODE],PROPERTIES[IS_CONCEPT])="IS_CONCEPT"</f>
        <v>0</v>
      </c>
      <c r="R717" s="8" t="b">
        <f>_xlfn.XLOOKUP(CONTROL[[#This Row],[VEHIDCODE]],PROPERTIES[VEHIDCODE],PROPERTIES[EXCLUDE])</f>
        <v>0</v>
      </c>
    </row>
    <row r="718" spans="1:18">
      <c r="A718" s="2" t="s">
        <v>235</v>
      </c>
      <c r="B718" s="26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7" t="s">
        <v>3651</v>
      </c>
      <c r="G718" t="s">
        <v>561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6" t="str">
        <f>"item_"&amp;CONTROL[[#This Row],[VEHIDCODE]]</f>
        <v>item_mu_Wagon_Service_Car_Type2</v>
      </c>
      <c r="P718" s="26" t="str">
        <f>"str_"&amp;CONTROL[[#This Row],[VEHIDCODE]]</f>
        <v>str_mu_Wagon_Service_Car_Type2</v>
      </c>
      <c r="Q718" s="8" t="b">
        <f>_xlfn.XLOOKUP(CONTROL[[#This Row],[VEHIDCODE]],PROPERTIES[VEHIDCODE],PROPERTIES[IS_CONCEPT])="IS_CONCEPT"</f>
        <v>0</v>
      </c>
      <c r="R718" s="8" t="b">
        <f>_xlfn.XLOOKUP(CONTROL[[#This Row],[VEHIDCODE]],PROPERTIES[VEHIDCODE],PROPERTIES[EXCLUDE])</f>
        <v>0</v>
      </c>
    </row>
    <row r="719" spans="1:18">
      <c r="A719" s="2" t="s">
        <v>92</v>
      </c>
      <c r="B719" s="26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7" t="s">
        <v>469</v>
      </c>
      <c r="G719" t="s">
        <v>561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6" t="str">
        <f>"item_"&amp;CONTROL[[#This Row],[VEHIDCODE]]</f>
        <v>item_mu_Coach_Gen1_Wooden_2_axle_Compartment_Coach</v>
      </c>
      <c r="P719" s="26" t="str">
        <f>"str_"&amp;CONTROL[[#This Row],[VEHIDCODE]]</f>
        <v>str_mu_Coach_Gen1_Wooden_2_axle_Compartment_Coach</v>
      </c>
      <c r="Q719" s="8" t="b">
        <f>_xlfn.XLOOKUP(CONTROL[[#This Row],[VEHIDCODE]],PROPERTIES[VEHIDCODE],PROPERTIES[IS_CONCEPT])="IS_CONCEPT"</f>
        <v>0</v>
      </c>
      <c r="R719" s="8" t="b">
        <f>_xlfn.XLOOKUP(CONTROL[[#This Row],[VEHIDCODE]],PROPERTIES[VEHIDCODE],PROPERTIES[EXCLUDE])</f>
        <v>0</v>
      </c>
    </row>
    <row r="720" spans="1:18">
      <c r="A720" s="2" t="s">
        <v>93</v>
      </c>
      <c r="B720" s="26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7" t="s">
        <v>470</v>
      </c>
      <c r="G720" t="s">
        <v>561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6" t="str">
        <f>"item_"&amp;CONTROL[[#This Row],[VEHIDCODE]]</f>
        <v>item_mu_Coach_Gen1_Wooden_2_axle_Regional_Coach</v>
      </c>
      <c r="P720" s="26" t="str">
        <f>"str_"&amp;CONTROL[[#This Row],[VEHIDCODE]]</f>
        <v>str_mu_Coach_Gen1_Wooden_2_axle_Regional_Coach</v>
      </c>
      <c r="Q720" s="8" t="b">
        <f>_xlfn.XLOOKUP(CONTROL[[#This Row],[VEHIDCODE]],PROPERTIES[VEHIDCODE],PROPERTIES[IS_CONCEPT])="IS_CONCEPT"</f>
        <v>0</v>
      </c>
      <c r="R720" s="8" t="b">
        <f>_xlfn.XLOOKUP(CONTROL[[#This Row],[VEHIDCODE]],PROPERTIES[VEHIDCODE],PROPERTIES[EXCLUDE])</f>
        <v>0</v>
      </c>
    </row>
    <row r="721" spans="1:18">
      <c r="A721" s="2" t="s">
        <v>94</v>
      </c>
      <c r="B721" s="26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7" t="s">
        <v>471</v>
      </c>
      <c r="G721" t="s">
        <v>561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6" t="str">
        <f>"item_"&amp;CONTROL[[#This Row],[VEHIDCODE]]</f>
        <v>item_mu_Coach_Gen1_Wooden_2_axle_Mail_Coach</v>
      </c>
      <c r="P721" s="26" t="str">
        <f>"str_"&amp;CONTROL[[#This Row],[VEHIDCODE]]</f>
        <v>str_mu_Coach_Gen1_Wooden_2_axle_Mail_Coach</v>
      </c>
      <c r="Q721" s="8" t="b">
        <f>_xlfn.XLOOKUP(CONTROL[[#This Row],[VEHIDCODE]],PROPERTIES[VEHIDCODE],PROPERTIES[IS_CONCEPT])="IS_CONCEPT"</f>
        <v>0</v>
      </c>
      <c r="R721" s="8" t="b">
        <f>_xlfn.XLOOKUP(CONTROL[[#This Row],[VEHIDCODE]],PROPERTIES[VEHIDCODE],PROPERTIES[EXCLUDE])</f>
        <v>0</v>
      </c>
    </row>
    <row r="722" spans="1:18">
      <c r="A722" s="2" t="s">
        <v>95</v>
      </c>
      <c r="B722" s="26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7" t="s">
        <v>472</v>
      </c>
      <c r="G722" t="s">
        <v>561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6" t="str">
        <f>"item_"&amp;CONTROL[[#This Row],[VEHIDCODE]]</f>
        <v>item_mu_Coach_Gen1_Clerestory_Compartment_Coach</v>
      </c>
      <c r="P722" s="26" t="str">
        <f>"str_"&amp;CONTROL[[#This Row],[VEHIDCODE]]</f>
        <v>str_mu_Coach_Gen1_Clerestory_Compartment_Coach</v>
      </c>
      <c r="Q722" s="8" t="b">
        <f>_xlfn.XLOOKUP(CONTROL[[#This Row],[VEHIDCODE]],PROPERTIES[VEHIDCODE],PROPERTIES[IS_CONCEPT])="IS_CONCEPT"</f>
        <v>0</v>
      </c>
      <c r="R722" s="8" t="b">
        <f>_xlfn.XLOOKUP(CONTROL[[#This Row],[VEHIDCODE]],PROPERTIES[VEHIDCODE],PROPERTIES[EXCLUDE])</f>
        <v>0</v>
      </c>
    </row>
    <row r="723" spans="1:18">
      <c r="A723" s="2" t="s">
        <v>96</v>
      </c>
      <c r="B723" s="26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7" t="s">
        <v>473</v>
      </c>
      <c r="G723" t="s">
        <v>561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6" t="str">
        <f>"item_"&amp;CONTROL[[#This Row],[VEHIDCODE]]</f>
        <v>item_mu_Coach_Gen1_Clerestory_Regional_Coach</v>
      </c>
      <c r="P723" s="26" t="str">
        <f>"str_"&amp;CONTROL[[#This Row],[VEHIDCODE]]</f>
        <v>str_mu_Coach_Gen1_Clerestory_Regional_Coach</v>
      </c>
      <c r="Q723" s="8" t="b">
        <f>_xlfn.XLOOKUP(CONTROL[[#This Row],[VEHIDCODE]],PROPERTIES[VEHIDCODE],PROPERTIES[IS_CONCEPT])="IS_CONCEPT"</f>
        <v>0</v>
      </c>
      <c r="R723" s="8" t="b">
        <f>_xlfn.XLOOKUP(CONTROL[[#This Row],[VEHIDCODE]],PROPERTIES[VEHIDCODE],PROPERTIES[EXCLUDE])</f>
        <v>0</v>
      </c>
    </row>
    <row r="724" spans="1:18">
      <c r="A724" s="2" t="s">
        <v>97</v>
      </c>
      <c r="B724" s="26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7" t="s">
        <v>474</v>
      </c>
      <c r="G724" t="s">
        <v>561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6" t="str">
        <f>"item_"&amp;CONTROL[[#This Row],[VEHIDCODE]]</f>
        <v>item_mu_Coach_Gen1_Clerestory_Mail_Coach</v>
      </c>
      <c r="P724" s="26" t="str">
        <f>"str_"&amp;CONTROL[[#This Row],[VEHIDCODE]]</f>
        <v>str_mu_Coach_Gen1_Clerestory_Mail_Coach</v>
      </c>
      <c r="Q724" s="8" t="b">
        <f>_xlfn.XLOOKUP(CONTROL[[#This Row],[VEHIDCODE]],PROPERTIES[VEHIDCODE],PROPERTIES[IS_CONCEPT])="IS_CONCEPT"</f>
        <v>0</v>
      </c>
      <c r="R724" s="8" t="b">
        <f>_xlfn.XLOOKUP(CONTROL[[#This Row],[VEHIDCODE]],PROPERTIES[VEHIDCODE],PROPERTIES[EXCLUDE])</f>
        <v>0</v>
      </c>
    </row>
    <row r="725" spans="1:18">
      <c r="A725" s="2" t="s">
        <v>98</v>
      </c>
      <c r="B725" s="26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7" t="s">
        <v>475</v>
      </c>
      <c r="G725" t="s">
        <v>561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6" t="str">
        <f>"item_"&amp;CONTROL[[#This Row],[VEHIDCODE]]</f>
        <v>item_mu_Coach_Gen1_Wooden_3_axle_Compartment_Coach</v>
      </c>
      <c r="P725" s="26" t="str">
        <f>"str_"&amp;CONTROL[[#This Row],[VEHIDCODE]]</f>
        <v>str_mu_Coach_Gen1_Wooden_3_axle_Compartment_Coach</v>
      </c>
      <c r="Q725" s="8" t="b">
        <f>_xlfn.XLOOKUP(CONTROL[[#This Row],[VEHIDCODE]],PROPERTIES[VEHIDCODE],PROPERTIES[IS_CONCEPT])="IS_CONCEPT"</f>
        <v>0</v>
      </c>
      <c r="R725" s="8" t="b">
        <f>_xlfn.XLOOKUP(CONTROL[[#This Row],[VEHIDCODE]],PROPERTIES[VEHIDCODE],PROPERTIES[EXCLUDE])</f>
        <v>0</v>
      </c>
    </row>
    <row r="726" spans="1:18">
      <c r="A726" s="2" t="s">
        <v>99</v>
      </c>
      <c r="B726" s="26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7" t="s">
        <v>476</v>
      </c>
      <c r="G726" t="s">
        <v>561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6" t="str">
        <f>"item_"&amp;CONTROL[[#This Row],[VEHIDCODE]]</f>
        <v>item_mu_Coach_Gen1_Wooden_3_axle_Regional_Coach</v>
      </c>
      <c r="P726" s="26" t="str">
        <f>"str_"&amp;CONTROL[[#This Row],[VEHIDCODE]]</f>
        <v>str_mu_Coach_Gen1_Wooden_3_axle_Regional_Coach</v>
      </c>
      <c r="Q726" s="8" t="b">
        <f>_xlfn.XLOOKUP(CONTROL[[#This Row],[VEHIDCODE]],PROPERTIES[VEHIDCODE],PROPERTIES[IS_CONCEPT])="IS_CONCEPT"</f>
        <v>0</v>
      </c>
      <c r="R726" s="8" t="b">
        <f>_xlfn.XLOOKUP(CONTROL[[#This Row],[VEHIDCODE]],PROPERTIES[VEHIDCODE],PROPERTIES[EXCLUDE])</f>
        <v>0</v>
      </c>
    </row>
    <row r="727" spans="1:18">
      <c r="A727" s="2" t="s">
        <v>100</v>
      </c>
      <c r="B727" s="26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7" t="s">
        <v>477</v>
      </c>
      <c r="G727" t="s">
        <v>561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6" t="str">
        <f>"item_"&amp;CONTROL[[#This Row],[VEHIDCODE]]</f>
        <v>item_mu_Coach_Gen1_Wooden_3_axle_Mail_Coach</v>
      </c>
      <c r="P727" s="26" t="str">
        <f>"str_"&amp;CONTROL[[#This Row],[VEHIDCODE]]</f>
        <v>str_mu_Coach_Gen1_Wooden_3_axle_Mail_Coach</v>
      </c>
      <c r="Q727" s="8" t="b">
        <f>_xlfn.XLOOKUP(CONTROL[[#This Row],[VEHIDCODE]],PROPERTIES[VEHIDCODE],PROPERTIES[IS_CONCEPT])="IS_CONCEPT"</f>
        <v>0</v>
      </c>
      <c r="R727" s="8" t="b">
        <f>_xlfn.XLOOKUP(CONTROL[[#This Row],[VEHIDCODE]],PROPERTIES[VEHIDCODE],PROPERTIES[EXCLUDE])</f>
        <v>0</v>
      </c>
    </row>
    <row r="728" spans="1:18">
      <c r="A728" s="2" t="s">
        <v>101</v>
      </c>
      <c r="B728" s="26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7" t="s">
        <v>478</v>
      </c>
      <c r="G728" t="s">
        <v>561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6" t="str">
        <f>"item_"&amp;CONTROL[[#This Row],[VEHIDCODE]]</f>
        <v>item_mu_Coach_Gen2_Heavyweight_Intercity_Coach</v>
      </c>
      <c r="P728" s="26" t="str">
        <f>"str_"&amp;CONTROL[[#This Row],[VEHIDCODE]]</f>
        <v>str_mu_Coach_Gen2_Heavyweight_Intercity_Coach</v>
      </c>
      <c r="Q728" s="8" t="b">
        <f>_xlfn.XLOOKUP(CONTROL[[#This Row],[VEHIDCODE]],PROPERTIES[VEHIDCODE],PROPERTIES[IS_CONCEPT])="IS_CONCEPT"</f>
        <v>0</v>
      </c>
      <c r="R728" s="8" t="b">
        <f>_xlfn.XLOOKUP(CONTROL[[#This Row],[VEHIDCODE]],PROPERTIES[VEHIDCODE],PROPERTIES[EXCLUDE])</f>
        <v>0</v>
      </c>
    </row>
    <row r="729" spans="1:18">
      <c r="A729" s="2" t="s">
        <v>102</v>
      </c>
      <c r="B729" s="26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7" t="s">
        <v>479</v>
      </c>
      <c r="G729" t="s">
        <v>561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6" t="str">
        <f>"item_"&amp;CONTROL[[#This Row],[VEHIDCODE]]</f>
        <v>item_mu_Coach_Gen2_Heavyweight_Mail_Coach</v>
      </c>
      <c r="P729" s="26" t="str">
        <f>"str_"&amp;CONTROL[[#This Row],[VEHIDCODE]]</f>
        <v>str_mu_Coach_Gen2_Heavyweight_Mail_Coach</v>
      </c>
      <c r="Q729" s="8" t="b">
        <f>_xlfn.XLOOKUP(CONTROL[[#This Row],[VEHIDCODE]],PROPERTIES[VEHIDCODE],PROPERTIES[IS_CONCEPT])="IS_CONCEPT"</f>
        <v>0</v>
      </c>
      <c r="R729" s="8" t="b">
        <f>_xlfn.XLOOKUP(CONTROL[[#This Row],[VEHIDCODE]],PROPERTIES[VEHIDCODE],PROPERTIES[EXCLUDE])</f>
        <v>0</v>
      </c>
    </row>
    <row r="730" spans="1:18">
      <c r="A730" s="2" t="s">
        <v>103</v>
      </c>
      <c r="B730" s="26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7" t="s">
        <v>480</v>
      </c>
      <c r="G730" t="s">
        <v>561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6" t="str">
        <f>"item_"&amp;CONTROL[[#This Row],[VEHIDCODE]]</f>
        <v>item_mu_Coach_Gen2_Steel_Intercity_Coach</v>
      </c>
      <c r="P730" s="26" t="str">
        <f>"str_"&amp;CONTROL[[#This Row],[VEHIDCODE]]</f>
        <v>str_mu_Coach_Gen2_Steel_Intercity_Coach</v>
      </c>
      <c r="Q730" s="8" t="b">
        <f>_xlfn.XLOOKUP(CONTROL[[#This Row],[VEHIDCODE]],PROPERTIES[VEHIDCODE],PROPERTIES[IS_CONCEPT])="IS_CONCEPT"</f>
        <v>0</v>
      </c>
      <c r="R730" s="8" t="b">
        <f>_xlfn.XLOOKUP(CONTROL[[#This Row],[VEHIDCODE]],PROPERTIES[VEHIDCODE],PROPERTIES[EXCLUDE])</f>
        <v>0</v>
      </c>
    </row>
    <row r="731" spans="1:18">
      <c r="A731" s="2" t="s">
        <v>104</v>
      </c>
      <c r="B731" s="26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7" t="s">
        <v>481</v>
      </c>
      <c r="G731" t="s">
        <v>561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6" t="str">
        <f>"item_"&amp;CONTROL[[#This Row],[VEHIDCODE]]</f>
        <v>item_mu_Coach_Gen2_Steel_Compartment_Coach</v>
      </c>
      <c r="P731" s="26" t="str">
        <f>"str_"&amp;CONTROL[[#This Row],[VEHIDCODE]]</f>
        <v>str_mu_Coach_Gen2_Steel_Compartment_Coach</v>
      </c>
      <c r="Q731" s="8" t="b">
        <f>_xlfn.XLOOKUP(CONTROL[[#This Row],[VEHIDCODE]],PROPERTIES[VEHIDCODE],PROPERTIES[IS_CONCEPT])="IS_CONCEPT"</f>
        <v>0</v>
      </c>
      <c r="R731" s="8" t="b">
        <f>_xlfn.XLOOKUP(CONTROL[[#This Row],[VEHIDCODE]],PROPERTIES[VEHIDCODE],PROPERTIES[EXCLUDE])</f>
        <v>0</v>
      </c>
    </row>
    <row r="732" spans="1:18">
      <c r="A732" s="2" t="s">
        <v>105</v>
      </c>
      <c r="B732" s="26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7" t="s">
        <v>482</v>
      </c>
      <c r="G732" t="s">
        <v>561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6" t="str">
        <f>"item_"&amp;CONTROL[[#This Row],[VEHIDCODE]]</f>
        <v>item_mu_Coach_Gen2_Steel_Regional_Coach</v>
      </c>
      <c r="P732" s="26" t="str">
        <f>"str_"&amp;CONTROL[[#This Row],[VEHIDCODE]]</f>
        <v>str_mu_Coach_Gen2_Steel_Regional_Coach</v>
      </c>
      <c r="Q732" s="8" t="b">
        <f>_xlfn.XLOOKUP(CONTROL[[#This Row],[VEHIDCODE]],PROPERTIES[VEHIDCODE],PROPERTIES[IS_CONCEPT])="IS_CONCEPT"</f>
        <v>0</v>
      </c>
      <c r="R732" s="8" t="b">
        <f>_xlfn.XLOOKUP(CONTROL[[#This Row],[VEHIDCODE]],PROPERTIES[VEHIDCODE],PROPERTIES[EXCLUDE])</f>
        <v>0</v>
      </c>
    </row>
    <row r="733" spans="1:18">
      <c r="A733" s="2" t="s">
        <v>106</v>
      </c>
      <c r="B733" s="26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7" t="s">
        <v>483</v>
      </c>
      <c r="G733" t="s">
        <v>561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6" t="str">
        <f>"item_"&amp;CONTROL[[#This Row],[VEHIDCODE]]</f>
        <v>item_mu_Coach_Gen2_Steel_Mail_Coach</v>
      </c>
      <c r="P733" s="26" t="str">
        <f>"str_"&amp;CONTROL[[#This Row],[VEHIDCODE]]</f>
        <v>str_mu_Coach_Gen2_Steel_Mail_Coach</v>
      </c>
      <c r="Q733" s="8" t="b">
        <f>_xlfn.XLOOKUP(CONTROL[[#This Row],[VEHIDCODE]],PROPERTIES[VEHIDCODE],PROPERTIES[IS_CONCEPT])="IS_CONCEPT"</f>
        <v>0</v>
      </c>
      <c r="R733" s="8" t="b">
        <f>_xlfn.XLOOKUP(CONTROL[[#This Row],[VEHIDCODE]],PROPERTIES[VEHIDCODE],PROPERTIES[EXCLUDE])</f>
        <v>0</v>
      </c>
    </row>
    <row r="734" spans="1:18">
      <c r="A734" s="2" t="s">
        <v>107</v>
      </c>
      <c r="B734" s="26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7" t="s">
        <v>484</v>
      </c>
      <c r="G734" t="s">
        <v>561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6" t="str">
        <f>"item_"&amp;CONTROL[[#This Row],[VEHIDCODE]]</f>
        <v>item_mu_Coach_Gen2_Steel_2_axle_Compartment_Coach</v>
      </c>
      <c r="P734" s="26" t="str">
        <f>"str_"&amp;CONTROL[[#This Row],[VEHIDCODE]]</f>
        <v>str_mu_Coach_Gen2_Steel_2_axle_Compartment_Coach</v>
      </c>
      <c r="Q734" s="8" t="b">
        <f>_xlfn.XLOOKUP(CONTROL[[#This Row],[VEHIDCODE]],PROPERTIES[VEHIDCODE],PROPERTIES[IS_CONCEPT])="IS_CONCEPT"</f>
        <v>0</v>
      </c>
      <c r="R734" s="8" t="b">
        <f>_xlfn.XLOOKUP(CONTROL[[#This Row],[VEHIDCODE]],PROPERTIES[VEHIDCODE],PROPERTIES[EXCLUDE])</f>
        <v>0</v>
      </c>
    </row>
    <row r="735" spans="1:18">
      <c r="A735" s="2" t="s">
        <v>108</v>
      </c>
      <c r="B735" s="26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7" t="s">
        <v>485</v>
      </c>
      <c r="G735" t="s">
        <v>561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6" t="str">
        <f>"item_"&amp;CONTROL[[#This Row],[VEHIDCODE]]</f>
        <v>item_mu_Coach_Gen2_Steel_2_axle_Regional_Coach</v>
      </c>
      <c r="P735" s="26" t="str">
        <f>"str_"&amp;CONTROL[[#This Row],[VEHIDCODE]]</f>
        <v>str_mu_Coach_Gen2_Steel_2_axle_Regional_Coach</v>
      </c>
      <c r="Q735" s="8" t="b">
        <f>_xlfn.XLOOKUP(CONTROL[[#This Row],[VEHIDCODE]],PROPERTIES[VEHIDCODE],PROPERTIES[IS_CONCEPT])="IS_CONCEPT"</f>
        <v>0</v>
      </c>
      <c r="R735" s="8" t="b">
        <f>_xlfn.XLOOKUP(CONTROL[[#This Row],[VEHIDCODE]],PROPERTIES[VEHIDCODE],PROPERTIES[EXCLUDE])</f>
        <v>0</v>
      </c>
    </row>
    <row r="736" spans="1:18">
      <c r="A736" s="2" t="s">
        <v>109</v>
      </c>
      <c r="B736" s="26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7" t="s">
        <v>486</v>
      </c>
      <c r="G736" t="s">
        <v>561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6" t="str">
        <f>"item_"&amp;CONTROL[[#This Row],[VEHIDCODE]]</f>
        <v>item_mu_Coach_Gen2_Steel_2_axle_Mail_Coach</v>
      </c>
      <c r="P736" s="26" t="str">
        <f>"str_"&amp;CONTROL[[#This Row],[VEHIDCODE]]</f>
        <v>str_mu_Coach_Gen2_Steel_2_axle_Mail_Coach</v>
      </c>
      <c r="Q736" s="8" t="b">
        <f>_xlfn.XLOOKUP(CONTROL[[#This Row],[VEHIDCODE]],PROPERTIES[VEHIDCODE],PROPERTIES[IS_CONCEPT])="IS_CONCEPT"</f>
        <v>0</v>
      </c>
      <c r="R736" s="8" t="b">
        <f>_xlfn.XLOOKUP(CONTROL[[#This Row],[VEHIDCODE]],PROPERTIES[VEHIDCODE],PROPERTIES[EXCLUDE])</f>
        <v>0</v>
      </c>
    </row>
    <row r="737" spans="1:18">
      <c r="A737" s="2" t="s">
        <v>110</v>
      </c>
      <c r="B737" s="26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7" t="s">
        <v>487</v>
      </c>
      <c r="G737" t="s">
        <v>561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6" t="str">
        <f>"item_"&amp;CONTROL[[#This Row],[VEHIDCODE]]</f>
        <v>item_mu_Coach_Gen2_Steel_3_axle_Compartment_Coach</v>
      </c>
      <c r="P737" s="26" t="str">
        <f>"str_"&amp;CONTROL[[#This Row],[VEHIDCODE]]</f>
        <v>str_mu_Coach_Gen2_Steel_3_axle_Compartment_Coach</v>
      </c>
      <c r="Q737" s="8" t="b">
        <f>_xlfn.XLOOKUP(CONTROL[[#This Row],[VEHIDCODE]],PROPERTIES[VEHIDCODE],PROPERTIES[IS_CONCEPT])="IS_CONCEPT"</f>
        <v>0</v>
      </c>
      <c r="R737" s="8" t="b">
        <f>_xlfn.XLOOKUP(CONTROL[[#This Row],[VEHIDCODE]],PROPERTIES[VEHIDCODE],PROPERTIES[EXCLUDE])</f>
        <v>0</v>
      </c>
    </row>
    <row r="738" spans="1:18">
      <c r="A738" s="2" t="s">
        <v>111</v>
      </c>
      <c r="B738" s="26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7" t="s">
        <v>488</v>
      </c>
      <c r="G738" t="s">
        <v>561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6" t="str">
        <f>"item_"&amp;CONTROL[[#This Row],[VEHIDCODE]]</f>
        <v>item_mu_Coach_Gen2_Steel_3_axle_Regional_Coach</v>
      </c>
      <c r="P738" s="26" t="str">
        <f>"str_"&amp;CONTROL[[#This Row],[VEHIDCODE]]</f>
        <v>str_mu_Coach_Gen2_Steel_3_axle_Regional_Coach</v>
      </c>
      <c r="Q738" s="8" t="b">
        <f>_xlfn.XLOOKUP(CONTROL[[#This Row],[VEHIDCODE]],PROPERTIES[VEHIDCODE],PROPERTIES[IS_CONCEPT])="IS_CONCEPT"</f>
        <v>0</v>
      </c>
      <c r="R738" s="8" t="b">
        <f>_xlfn.XLOOKUP(CONTROL[[#This Row],[VEHIDCODE]],PROPERTIES[VEHIDCODE],PROPERTIES[EXCLUDE])</f>
        <v>0</v>
      </c>
    </row>
    <row r="739" spans="1:18">
      <c r="A739" s="2" t="s">
        <v>112</v>
      </c>
      <c r="B739" s="26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7" t="s">
        <v>489</v>
      </c>
      <c r="G739" t="s">
        <v>561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6" t="str">
        <f>"item_"&amp;CONTROL[[#This Row],[VEHIDCODE]]</f>
        <v>item_mu_Coach_Gen2_Steel_3_axle_Mail_Coach</v>
      </c>
      <c r="P739" s="26" t="str">
        <f>"str_"&amp;CONTROL[[#This Row],[VEHIDCODE]]</f>
        <v>str_mu_Coach_Gen2_Steel_3_axle_Mail_Coach</v>
      </c>
      <c r="Q739" s="8" t="b">
        <f>_xlfn.XLOOKUP(CONTROL[[#This Row],[VEHIDCODE]],PROPERTIES[VEHIDCODE],PROPERTIES[IS_CONCEPT])="IS_CONCEPT"</f>
        <v>0</v>
      </c>
      <c r="R739" s="8" t="b">
        <f>_xlfn.XLOOKUP(CONTROL[[#This Row],[VEHIDCODE]],PROPERTIES[VEHIDCODE],PROPERTIES[EXCLUDE])</f>
        <v>0</v>
      </c>
    </row>
    <row r="740" spans="1:18">
      <c r="A740" s="2" t="s">
        <v>113</v>
      </c>
      <c r="B740" s="26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7" t="s">
        <v>3664</v>
      </c>
      <c r="G740" t="s">
        <v>561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6" t="str">
        <f>"item_"&amp;CONTROL[[#This Row],[VEHIDCODE]]</f>
        <v>item_mu_Coach_Gen3_Steel_Lightweight_Intercity_Coach</v>
      </c>
      <c r="P740" s="26" t="str">
        <f>"str_"&amp;CONTROL[[#This Row],[VEHIDCODE]]</f>
        <v>str_mu_Coach_Gen3_Steel_Lightweight_Intercity_Coach</v>
      </c>
      <c r="Q740" s="8" t="b">
        <f>_xlfn.XLOOKUP(CONTROL[[#This Row],[VEHIDCODE]],PROPERTIES[VEHIDCODE],PROPERTIES[IS_CONCEPT])="IS_CONCEPT"</f>
        <v>0</v>
      </c>
      <c r="R740" s="8" t="b">
        <f>_xlfn.XLOOKUP(CONTROL[[#This Row],[VEHIDCODE]],PROPERTIES[VEHIDCODE],PROPERTIES[EXCLUDE])</f>
        <v>0</v>
      </c>
    </row>
    <row r="741" spans="1:18">
      <c r="A741" s="2" t="s">
        <v>114</v>
      </c>
      <c r="B741" s="26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7" t="s">
        <v>3665</v>
      </c>
      <c r="G741" t="s">
        <v>561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6" t="str">
        <f>"item_"&amp;CONTROL[[#This Row],[VEHIDCODE]]</f>
        <v>item_mu_Coach_Gen3_Steel_Lightweight_Regional_Coach</v>
      </c>
      <c r="P741" s="26" t="str">
        <f>"str_"&amp;CONTROL[[#This Row],[VEHIDCODE]]</f>
        <v>str_mu_Coach_Gen3_Steel_Lightweight_Regional_Coach</v>
      </c>
      <c r="Q741" s="8" t="b">
        <f>_xlfn.XLOOKUP(CONTROL[[#This Row],[VEHIDCODE]],PROPERTIES[VEHIDCODE],PROPERTIES[IS_CONCEPT])="IS_CONCEPT"</f>
        <v>0</v>
      </c>
      <c r="R741" s="8" t="b">
        <f>_xlfn.XLOOKUP(CONTROL[[#This Row],[VEHIDCODE]],PROPERTIES[VEHIDCODE],PROPERTIES[EXCLUDE])</f>
        <v>0</v>
      </c>
    </row>
    <row r="742" spans="1:18">
      <c r="A742" s="2" t="s">
        <v>115</v>
      </c>
      <c r="B742" s="26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7" t="s">
        <v>3666</v>
      </c>
      <c r="G742" t="s">
        <v>561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6" t="str">
        <f>"item_"&amp;CONTROL[[#This Row],[VEHIDCODE]]</f>
        <v>item_mu_Coach_Gen3_Steel_Lightweight_Mail_Coach</v>
      </c>
      <c r="P742" s="26" t="str">
        <f>"str_"&amp;CONTROL[[#This Row],[VEHIDCODE]]</f>
        <v>str_mu_Coach_Gen3_Steel_Lightweight_Mail_Coach</v>
      </c>
      <c r="Q742" s="8" t="b">
        <f>_xlfn.XLOOKUP(CONTROL[[#This Row],[VEHIDCODE]],PROPERTIES[VEHIDCODE],PROPERTIES[IS_CONCEPT])="IS_CONCEPT"</f>
        <v>0</v>
      </c>
      <c r="R742" s="8" t="b">
        <f>_xlfn.XLOOKUP(CONTROL[[#This Row],[VEHIDCODE]],PROPERTIES[VEHIDCODE],PROPERTIES[EXCLUDE])</f>
        <v>0</v>
      </c>
    </row>
    <row r="743" spans="1:18">
      <c r="A743" s="2" t="s">
        <v>116</v>
      </c>
      <c r="B743" s="26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7" t="s">
        <v>3653</v>
      </c>
      <c r="G743" t="s">
        <v>561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6" t="str">
        <f>"item_"&amp;CONTROL[[#This Row],[VEHIDCODE]]</f>
        <v>item_mu_Coach_Gen3_Aluminium_Lightweight_Intercity_Coach</v>
      </c>
      <c r="P743" s="26" t="str">
        <f>"str_"&amp;CONTROL[[#This Row],[VEHIDCODE]]</f>
        <v>str_mu_Coach_Gen3_Aluminium_Lightweight_Intercity_Coach</v>
      </c>
      <c r="Q743" s="8" t="b">
        <f>_xlfn.XLOOKUP(CONTROL[[#This Row],[VEHIDCODE]],PROPERTIES[VEHIDCODE],PROPERTIES[IS_CONCEPT])="IS_CONCEPT"</f>
        <v>0</v>
      </c>
      <c r="R743" s="8" t="b">
        <f>_xlfn.XLOOKUP(CONTROL[[#This Row],[VEHIDCODE]],PROPERTIES[VEHIDCODE],PROPERTIES[EXCLUDE])</f>
        <v>0</v>
      </c>
    </row>
    <row r="744" spans="1:18">
      <c r="A744" s="2" t="s">
        <v>117</v>
      </c>
      <c r="B744" s="26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7" t="s">
        <v>3654</v>
      </c>
      <c r="G744" t="s">
        <v>561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6" t="str">
        <f>"item_"&amp;CONTROL[[#This Row],[VEHIDCODE]]</f>
        <v>item_mu_Coach_Gen3_Aluminium_Lightweight_Regional_Coach</v>
      </c>
      <c r="P744" s="26" t="str">
        <f>"str_"&amp;CONTROL[[#This Row],[VEHIDCODE]]</f>
        <v>str_mu_Coach_Gen3_Aluminium_Lightweight_Regional_Coach</v>
      </c>
      <c r="Q744" s="8" t="b">
        <f>_xlfn.XLOOKUP(CONTROL[[#This Row],[VEHIDCODE]],PROPERTIES[VEHIDCODE],PROPERTIES[IS_CONCEPT])="IS_CONCEPT"</f>
        <v>0</v>
      </c>
      <c r="R744" s="8" t="b">
        <f>_xlfn.XLOOKUP(CONTROL[[#This Row],[VEHIDCODE]],PROPERTIES[VEHIDCODE],PROPERTIES[EXCLUDE])</f>
        <v>0</v>
      </c>
    </row>
    <row r="745" spans="1:18">
      <c r="A745" s="2" t="s">
        <v>118</v>
      </c>
      <c r="B745" s="26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7" t="s">
        <v>3655</v>
      </c>
      <c r="G745" t="s">
        <v>561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6" t="str">
        <f>"item_"&amp;CONTROL[[#This Row],[VEHIDCODE]]</f>
        <v>item_mu_Coach_Gen3_Aluminium_Lightweight_Mail_Coach</v>
      </c>
      <c r="P745" s="26" t="str">
        <f>"str_"&amp;CONTROL[[#This Row],[VEHIDCODE]]</f>
        <v>str_mu_Coach_Gen3_Aluminium_Lightweight_Mail_Coach</v>
      </c>
      <c r="Q745" s="8" t="b">
        <f>_xlfn.XLOOKUP(CONTROL[[#This Row],[VEHIDCODE]],PROPERTIES[VEHIDCODE],PROPERTIES[IS_CONCEPT])="IS_CONCEPT"</f>
        <v>0</v>
      </c>
      <c r="R745" s="8" t="b">
        <f>_xlfn.XLOOKUP(CONTROL[[#This Row],[VEHIDCODE]],PROPERTIES[VEHIDCODE],PROPERTIES[EXCLUDE])</f>
        <v>0</v>
      </c>
    </row>
    <row r="746" spans="1:18">
      <c r="A746" s="2" t="s">
        <v>119</v>
      </c>
      <c r="B746" s="26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7" t="s">
        <v>490</v>
      </c>
      <c r="G746" t="s">
        <v>561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6" t="str">
        <f>"item_"&amp;CONTROL[[#This Row],[VEHIDCODE]]</f>
        <v>item_mu_Coach_Gen3_Gallery_Car</v>
      </c>
      <c r="P746" s="26" t="str">
        <f>"str_"&amp;CONTROL[[#This Row],[VEHIDCODE]]</f>
        <v>str_mu_Coach_Gen3_Gallery_Car</v>
      </c>
      <c r="Q746" s="8" t="b">
        <f>_xlfn.XLOOKUP(CONTROL[[#This Row],[VEHIDCODE]],PROPERTIES[VEHIDCODE],PROPERTIES[IS_CONCEPT])="IS_CONCEPT"</f>
        <v>0</v>
      </c>
      <c r="R746" s="8" t="b">
        <f>_xlfn.XLOOKUP(CONTROL[[#This Row],[VEHIDCODE]],PROPERTIES[VEHIDCODE],PROPERTIES[EXCLUDE])</f>
        <v>0</v>
      </c>
    </row>
    <row r="747" spans="1:18">
      <c r="A747" s="2" t="s">
        <v>120</v>
      </c>
      <c r="B747" s="26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7" t="s">
        <v>491</v>
      </c>
      <c r="G747" t="s">
        <v>561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6" t="str">
        <f>"item_"&amp;CONTROL[[#This Row],[VEHIDCODE]]</f>
        <v>item_mu_Coach_Gen3_Mk1_Intercity_Coach</v>
      </c>
      <c r="P747" s="26" t="str">
        <f>"str_"&amp;CONTROL[[#This Row],[VEHIDCODE]]</f>
        <v>str_mu_Coach_Gen3_Mk1_Intercity_Coach</v>
      </c>
      <c r="Q747" s="8" t="b">
        <f>_xlfn.XLOOKUP(CONTROL[[#This Row],[VEHIDCODE]],PROPERTIES[VEHIDCODE],PROPERTIES[IS_CONCEPT])="IS_CONCEPT"</f>
        <v>0</v>
      </c>
      <c r="R747" s="8" t="b">
        <f>_xlfn.XLOOKUP(CONTROL[[#This Row],[VEHIDCODE]],PROPERTIES[VEHIDCODE],PROPERTIES[EXCLUDE])</f>
        <v>0</v>
      </c>
    </row>
    <row r="748" spans="1:18">
      <c r="A748" s="2" t="s">
        <v>121</v>
      </c>
      <c r="B748" s="26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7" t="s">
        <v>492</v>
      </c>
      <c r="G748" t="s">
        <v>561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6" t="str">
        <f>"item_"&amp;CONTROL[[#This Row],[VEHIDCODE]]</f>
        <v>item_mu_Coach_Gen3_Mk1_Regional_Coach</v>
      </c>
      <c r="P748" s="26" t="str">
        <f>"str_"&amp;CONTROL[[#This Row],[VEHIDCODE]]</f>
        <v>str_mu_Coach_Gen3_Mk1_Regional_Coach</v>
      </c>
      <c r="Q748" s="8" t="b">
        <f>_xlfn.XLOOKUP(CONTROL[[#This Row],[VEHIDCODE]],PROPERTIES[VEHIDCODE],PROPERTIES[IS_CONCEPT])="IS_CONCEPT"</f>
        <v>0</v>
      </c>
      <c r="R748" s="8" t="b">
        <f>_xlfn.XLOOKUP(CONTROL[[#This Row],[VEHIDCODE]],PROPERTIES[VEHIDCODE],PROPERTIES[EXCLUDE])</f>
        <v>0</v>
      </c>
    </row>
    <row r="749" spans="1:18">
      <c r="A749" s="2" t="s">
        <v>122</v>
      </c>
      <c r="B749" s="26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7" t="s">
        <v>493</v>
      </c>
      <c r="G749" t="s">
        <v>561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6" t="str">
        <f>"item_"&amp;CONTROL[[#This Row],[VEHIDCODE]]</f>
        <v>item_mu_Coach_Gen3_Mk1_Mail_Coach</v>
      </c>
      <c r="P749" s="26" t="str">
        <f>"str_"&amp;CONTROL[[#This Row],[VEHIDCODE]]</f>
        <v>str_mu_Coach_Gen3_Mk1_Mail_Coach</v>
      </c>
      <c r="Q749" s="8" t="b">
        <f>_xlfn.XLOOKUP(CONTROL[[#This Row],[VEHIDCODE]],PROPERTIES[VEHIDCODE],PROPERTIES[IS_CONCEPT])="IS_CONCEPT"</f>
        <v>0</v>
      </c>
      <c r="R749" s="8" t="b">
        <f>_xlfn.XLOOKUP(CONTROL[[#This Row],[VEHIDCODE]],PROPERTIES[VEHIDCODE],PROPERTIES[EXCLUDE])</f>
        <v>0</v>
      </c>
    </row>
    <row r="750" spans="1:18">
      <c r="A750" s="2" t="s">
        <v>123</v>
      </c>
      <c r="B750" s="26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7" t="s">
        <v>494</v>
      </c>
      <c r="G750" t="s">
        <v>561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6" t="str">
        <f>"item_"&amp;CONTROL[[#This Row],[VEHIDCODE]]</f>
        <v>item_mu_Coach_Gen3_UIC_X_Intercity_Coach</v>
      </c>
      <c r="P750" s="26" t="str">
        <f>"str_"&amp;CONTROL[[#This Row],[VEHIDCODE]]</f>
        <v>str_mu_Coach_Gen3_UIC_X_Intercity_Coach</v>
      </c>
      <c r="Q750" s="8" t="b">
        <f>_xlfn.XLOOKUP(CONTROL[[#This Row],[VEHIDCODE]],PROPERTIES[VEHIDCODE],PROPERTIES[IS_CONCEPT])="IS_CONCEPT"</f>
        <v>0</v>
      </c>
      <c r="R750" s="8" t="b">
        <f>_xlfn.XLOOKUP(CONTROL[[#This Row],[VEHIDCODE]],PROPERTIES[VEHIDCODE],PROPERTIES[EXCLUDE])</f>
        <v>0</v>
      </c>
    </row>
    <row r="751" spans="1:18">
      <c r="A751" s="2" t="s">
        <v>124</v>
      </c>
      <c r="B751" s="26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7" t="s">
        <v>495</v>
      </c>
      <c r="G751" t="s">
        <v>561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6" t="str">
        <f>"item_"&amp;CONTROL[[#This Row],[VEHIDCODE]]</f>
        <v>item_mu_Coach_Gen3_TEE_Intercity_Coach</v>
      </c>
      <c r="P751" s="26" t="str">
        <f>"str_"&amp;CONTROL[[#This Row],[VEHIDCODE]]</f>
        <v>str_mu_Coach_Gen3_TEE_Intercity_Coach</v>
      </c>
      <c r="Q751" s="8" t="b">
        <f>_xlfn.XLOOKUP(CONTROL[[#This Row],[VEHIDCODE]],PROPERTIES[VEHIDCODE],PROPERTIES[IS_CONCEPT])="IS_CONCEPT"</f>
        <v>0</v>
      </c>
      <c r="R751" s="8" t="b">
        <f>_xlfn.XLOOKUP(CONTROL[[#This Row],[VEHIDCODE]],PROPERTIES[VEHIDCODE],PROPERTIES[EXCLUDE])</f>
        <v>0</v>
      </c>
    </row>
    <row r="752" spans="1:18">
      <c r="A752" s="2" t="s">
        <v>125</v>
      </c>
      <c r="B752" s="26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7" t="s">
        <v>496</v>
      </c>
      <c r="G752" t="s">
        <v>561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6" t="str">
        <f>"item_"&amp;CONTROL[[#This Row],[VEHIDCODE]]</f>
        <v>item_mu_Coach_Gen3_UIC_X_Regional_Coach</v>
      </c>
      <c r="P752" s="26" t="str">
        <f>"str_"&amp;CONTROL[[#This Row],[VEHIDCODE]]</f>
        <v>str_mu_Coach_Gen3_UIC_X_Regional_Coach</v>
      </c>
      <c r="Q752" s="8" t="b">
        <f>_xlfn.XLOOKUP(CONTROL[[#This Row],[VEHIDCODE]],PROPERTIES[VEHIDCODE],PROPERTIES[IS_CONCEPT])="IS_CONCEPT"</f>
        <v>0</v>
      </c>
      <c r="R752" s="8" t="b">
        <f>_xlfn.XLOOKUP(CONTROL[[#This Row],[VEHIDCODE]],PROPERTIES[VEHIDCODE],PROPERTIES[EXCLUDE])</f>
        <v>0</v>
      </c>
    </row>
    <row r="753" spans="1:18">
      <c r="A753" s="2" t="s">
        <v>126</v>
      </c>
      <c r="B753" s="26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7" t="s">
        <v>497</v>
      </c>
      <c r="G753" t="s">
        <v>561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6" t="str">
        <f>"item_"&amp;CONTROL[[#This Row],[VEHIDCODE]]</f>
        <v>item_mu_Coach_Gen3_Umbauwagen_Local_Coach</v>
      </c>
      <c r="P753" s="26" t="str">
        <f>"str_"&amp;CONTROL[[#This Row],[VEHIDCODE]]</f>
        <v>str_mu_Coach_Gen3_Umbauwagen_Local_Coach</v>
      </c>
      <c r="Q753" s="8" t="b">
        <f>_xlfn.XLOOKUP(CONTROL[[#This Row],[VEHIDCODE]],PROPERTIES[VEHIDCODE],PROPERTIES[IS_CONCEPT])="IS_CONCEPT"</f>
        <v>0</v>
      </c>
      <c r="R753" s="8" t="b">
        <f>_xlfn.XLOOKUP(CONTROL[[#This Row],[VEHIDCODE]],PROPERTIES[VEHIDCODE],PROPERTIES[EXCLUDE])</f>
        <v>0</v>
      </c>
    </row>
    <row r="754" spans="1:18">
      <c r="A754" s="2" t="s">
        <v>3687</v>
      </c>
      <c r="B754" s="26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7" t="s">
        <v>3688</v>
      </c>
      <c r="G754" t="s">
        <v>561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6" t="str">
        <f>"item_"&amp;CONTROL[[#This Row],[VEHIDCODE]]</f>
        <v>item_mu_Coach_Gen4_Doppelstockwagen_Local_Coach</v>
      </c>
      <c r="P754" s="26" t="str">
        <f>"str_"&amp;CONTROL[[#This Row],[VEHIDCODE]]</f>
        <v>str_mu_Coach_Gen4_Doppelstockwagen_Local_Coach</v>
      </c>
      <c r="Q754" s="8" t="b">
        <f>_xlfn.XLOOKUP(CONTROL[[#This Row],[VEHIDCODE]],PROPERTIES[VEHIDCODE],PROPERTIES[IS_CONCEPT])="IS_CONCEPT"</f>
        <v>0</v>
      </c>
      <c r="R754" s="8" t="b">
        <f>_xlfn.XLOOKUP(CONTROL[[#This Row],[VEHIDCODE]],PROPERTIES[VEHIDCODE],PROPERTIES[EXCLUDE])</f>
        <v>0</v>
      </c>
    </row>
    <row r="755" spans="1:18">
      <c r="A755" s="2" t="s">
        <v>127</v>
      </c>
      <c r="B755" s="26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7" t="s">
        <v>498</v>
      </c>
      <c r="G755" t="s">
        <v>561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6" t="str">
        <f>"item_"&amp;CONTROL[[#This Row],[VEHIDCODE]]</f>
        <v>item_mu_Coach_Gen3_UIC_X_Mail_Coach</v>
      </c>
      <c r="P755" s="26" t="str">
        <f>"str_"&amp;CONTROL[[#This Row],[VEHIDCODE]]</f>
        <v>str_mu_Coach_Gen3_UIC_X_Mail_Coach</v>
      </c>
      <c r="Q755" s="8" t="b">
        <f>_xlfn.XLOOKUP(CONTROL[[#This Row],[VEHIDCODE]],PROPERTIES[VEHIDCODE],PROPERTIES[IS_CONCEPT])="IS_CONCEPT"</f>
        <v>0</v>
      </c>
      <c r="R755" s="8" t="b">
        <f>_xlfn.XLOOKUP(CONTROL[[#This Row],[VEHIDCODE]],PROPERTIES[VEHIDCODE],PROPERTIES[EXCLUDE])</f>
        <v>0</v>
      </c>
    </row>
    <row r="756" spans="1:18">
      <c r="A756" s="2" t="s">
        <v>128</v>
      </c>
      <c r="B756" s="26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7" t="s">
        <v>499</v>
      </c>
      <c r="G756" t="s">
        <v>561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6" t="str">
        <f>"item_"&amp;CONTROL[[#This Row],[VEHIDCODE]]</f>
        <v>item_mu_Coach_Gen3_Indian_Intercity_Coach</v>
      </c>
      <c r="P756" s="26" t="str">
        <f>"str_"&amp;CONTROL[[#This Row],[VEHIDCODE]]</f>
        <v>str_mu_Coach_Gen3_Indian_Intercity_Coach</v>
      </c>
      <c r="Q756" s="8" t="b">
        <f>_xlfn.XLOOKUP(CONTROL[[#This Row],[VEHIDCODE]],PROPERTIES[VEHIDCODE],PROPERTIES[IS_CONCEPT])="IS_CONCEPT"</f>
        <v>0</v>
      </c>
      <c r="R756" s="8" t="b">
        <f>_xlfn.XLOOKUP(CONTROL[[#This Row],[VEHIDCODE]],PROPERTIES[VEHIDCODE],PROPERTIES[EXCLUDE])</f>
        <v>0</v>
      </c>
    </row>
    <row r="757" spans="1:18">
      <c r="A757" s="2" t="s">
        <v>129</v>
      </c>
      <c r="B757" s="26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7" t="s">
        <v>500</v>
      </c>
      <c r="G757" t="s">
        <v>561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6" t="str">
        <f>"item_"&amp;CONTROL[[#This Row],[VEHIDCODE]]</f>
        <v>item_mu_Coach_Gen3_Indian_Local_Coach</v>
      </c>
      <c r="P757" s="26" t="str">
        <f>"str_"&amp;CONTROL[[#This Row],[VEHIDCODE]]</f>
        <v>str_mu_Coach_Gen3_Indian_Local_Coach</v>
      </c>
      <c r="Q757" s="8" t="b">
        <f>_xlfn.XLOOKUP(CONTROL[[#This Row],[VEHIDCODE]],PROPERTIES[VEHIDCODE],PROPERTIES[IS_CONCEPT])="IS_CONCEPT"</f>
        <v>0</v>
      </c>
      <c r="R757" s="8" t="b">
        <f>_xlfn.XLOOKUP(CONTROL[[#This Row],[VEHIDCODE]],PROPERTIES[VEHIDCODE],PROPERTIES[EXCLUDE])</f>
        <v>0</v>
      </c>
    </row>
    <row r="758" spans="1:18">
      <c r="A758" s="2" t="s">
        <v>130</v>
      </c>
      <c r="B758" s="26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7" t="s">
        <v>501</v>
      </c>
      <c r="G758" t="s">
        <v>561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6" t="str">
        <f>"item_"&amp;CONTROL[[#This Row],[VEHIDCODE]]</f>
        <v>item_mu_Coach_Gen3_Indian_Regional_Coach</v>
      </c>
      <c r="P758" s="26" t="str">
        <f>"str_"&amp;CONTROL[[#This Row],[VEHIDCODE]]</f>
        <v>str_mu_Coach_Gen3_Indian_Regional_Coach</v>
      </c>
      <c r="Q758" s="8" t="b">
        <f>_xlfn.XLOOKUP(CONTROL[[#This Row],[VEHIDCODE]],PROPERTIES[VEHIDCODE],PROPERTIES[IS_CONCEPT])="IS_CONCEPT"</f>
        <v>0</v>
      </c>
      <c r="R758" s="8" t="b">
        <f>_xlfn.XLOOKUP(CONTROL[[#This Row],[VEHIDCODE]],PROPERTIES[VEHIDCODE],PROPERTIES[EXCLUDE])</f>
        <v>0</v>
      </c>
    </row>
    <row r="759" spans="1:18">
      <c r="A759" s="2" t="s">
        <v>131</v>
      </c>
      <c r="B759" s="26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7" t="s">
        <v>502</v>
      </c>
      <c r="G759" t="s">
        <v>561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6" t="str">
        <f>"item_"&amp;CONTROL[[#This Row],[VEHIDCODE]]</f>
        <v>item_mu_Coach_Gen3_Indian_Mail_Coach</v>
      </c>
      <c r="P759" s="26" t="str">
        <f>"str_"&amp;CONTROL[[#This Row],[VEHIDCODE]]</f>
        <v>str_mu_Coach_Gen3_Indian_Mail_Coach</v>
      </c>
      <c r="Q759" s="8" t="b">
        <f>_xlfn.XLOOKUP(CONTROL[[#This Row],[VEHIDCODE]],PROPERTIES[VEHIDCODE],PROPERTIES[IS_CONCEPT])="IS_CONCEPT"</f>
        <v>0</v>
      </c>
      <c r="R759" s="8" t="b">
        <f>_xlfn.XLOOKUP(CONTROL[[#This Row],[VEHIDCODE]],PROPERTIES[VEHIDCODE],PROPERTIES[EXCLUDE])</f>
        <v>0</v>
      </c>
    </row>
    <row r="760" spans="1:18">
      <c r="A760" s="2" t="s">
        <v>132</v>
      </c>
      <c r="B760" s="26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7" t="s">
        <v>503</v>
      </c>
      <c r="G760" t="s">
        <v>561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6" t="str">
        <f>"item_"&amp;CONTROL[[#This Row],[VEHIDCODE]]</f>
        <v>item_mu_Coach_Gen4_Eurofima_Intercity_Coach</v>
      </c>
      <c r="P760" s="26" t="str">
        <f>"str_"&amp;CONTROL[[#This Row],[VEHIDCODE]]</f>
        <v>str_mu_Coach_Gen4_Eurofima_Intercity_Coach</v>
      </c>
      <c r="Q760" s="8" t="b">
        <f>_xlfn.XLOOKUP(CONTROL[[#This Row],[VEHIDCODE]],PROPERTIES[VEHIDCODE],PROPERTIES[IS_CONCEPT])="IS_CONCEPT"</f>
        <v>0</v>
      </c>
      <c r="R760" s="8" t="b">
        <f>_xlfn.XLOOKUP(CONTROL[[#This Row],[VEHIDCODE]],PROPERTIES[VEHIDCODE],PROPERTIES[EXCLUDE])</f>
        <v>0</v>
      </c>
    </row>
    <row r="761" spans="1:18">
      <c r="A761" s="2" t="s">
        <v>133</v>
      </c>
      <c r="B761" s="26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7" t="s">
        <v>504</v>
      </c>
      <c r="G761" t="s">
        <v>561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6" t="str">
        <f>"item_"&amp;CONTROL[[#This Row],[VEHIDCODE]]</f>
        <v>item_mu_Coach_Gen4_InterRegio_Coach</v>
      </c>
      <c r="P761" s="26" t="str">
        <f>"str_"&amp;CONTROL[[#This Row],[VEHIDCODE]]</f>
        <v>str_mu_Coach_Gen4_InterRegio_Coach</v>
      </c>
      <c r="Q761" s="8" t="b">
        <f>_xlfn.XLOOKUP(CONTROL[[#This Row],[VEHIDCODE]],PROPERTIES[VEHIDCODE],PROPERTIES[IS_CONCEPT])="IS_CONCEPT"</f>
        <v>0</v>
      </c>
      <c r="R761" s="8" t="b">
        <f>_xlfn.XLOOKUP(CONTROL[[#This Row],[VEHIDCODE]],PROPERTIES[VEHIDCODE],PROPERTIES[EXCLUDE])</f>
        <v>0</v>
      </c>
    </row>
    <row r="762" spans="1:18">
      <c r="A762" s="2" t="s">
        <v>134</v>
      </c>
      <c r="B762" s="26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7" t="s">
        <v>505</v>
      </c>
      <c r="G762" t="s">
        <v>561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6" t="str">
        <f>"item_"&amp;CONTROL[[#This Row],[VEHIDCODE]]</f>
        <v>item_mu_Coach_Gen4_Silberling_Commuter_Coach</v>
      </c>
      <c r="P762" s="26" t="str">
        <f>"str_"&amp;CONTROL[[#This Row],[VEHIDCODE]]</f>
        <v>str_mu_Coach_Gen4_Silberling_Commuter_Coach</v>
      </c>
      <c r="Q762" s="8" t="b">
        <f>_xlfn.XLOOKUP(CONTROL[[#This Row],[VEHIDCODE]],PROPERTIES[VEHIDCODE],PROPERTIES[IS_CONCEPT])="IS_CONCEPT"</f>
        <v>0</v>
      </c>
      <c r="R762" s="8" t="b">
        <f>_xlfn.XLOOKUP(CONTROL[[#This Row],[VEHIDCODE]],PROPERTIES[VEHIDCODE],PROPERTIES[EXCLUDE])</f>
        <v>0</v>
      </c>
    </row>
    <row r="763" spans="1:18">
      <c r="A763" s="2" t="s">
        <v>135</v>
      </c>
      <c r="B763" s="26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7" t="s">
        <v>506</v>
      </c>
      <c r="G763" t="s">
        <v>561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6" t="str">
        <f>"item_"&amp;CONTROL[[#This Row],[VEHIDCODE]]</f>
        <v>item_mu_Coach_Gen4_Eurofima_Mail_Coach</v>
      </c>
      <c r="P763" s="26" t="str">
        <f>"str_"&amp;CONTROL[[#This Row],[VEHIDCODE]]</f>
        <v>str_mu_Coach_Gen4_Eurofima_Mail_Coach</v>
      </c>
      <c r="Q763" s="8" t="b">
        <f>_xlfn.XLOOKUP(CONTROL[[#This Row],[VEHIDCODE]],PROPERTIES[VEHIDCODE],PROPERTIES[IS_CONCEPT])="IS_CONCEPT"</f>
        <v>0</v>
      </c>
      <c r="R763" s="8" t="b">
        <f>_xlfn.XLOOKUP(CONTROL[[#This Row],[VEHIDCODE]],PROPERTIES[VEHIDCODE],PROPERTIES[EXCLUDE])</f>
        <v>0</v>
      </c>
    </row>
    <row r="764" spans="1:18">
      <c r="A764" s="2" t="s">
        <v>136</v>
      </c>
      <c r="B764" s="26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7" t="s">
        <v>507</v>
      </c>
      <c r="G764" t="s">
        <v>561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6" t="str">
        <f>"item_"&amp;CONTROL[[#This Row],[VEHIDCODE]]</f>
        <v>item_mu_Coach_Gen4_Double_Decker_Coach</v>
      </c>
      <c r="P764" s="26" t="str">
        <f>"str_"&amp;CONTROL[[#This Row],[VEHIDCODE]]</f>
        <v>str_mu_Coach_Gen4_Double_Decker_Coach</v>
      </c>
      <c r="Q764" s="8" t="b">
        <f>_xlfn.XLOOKUP(CONTROL[[#This Row],[VEHIDCODE]],PROPERTIES[VEHIDCODE],PROPERTIES[IS_CONCEPT])="IS_CONCEPT"</f>
        <v>0</v>
      </c>
      <c r="R764" s="8" t="b">
        <f>_xlfn.XLOOKUP(CONTROL[[#This Row],[VEHIDCODE]],PROPERTIES[VEHIDCODE],PROPERTIES[EXCLUDE])</f>
        <v>0</v>
      </c>
    </row>
    <row r="765" spans="1:18">
      <c r="A765" s="2" t="s">
        <v>137</v>
      </c>
      <c r="B765" s="26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7" t="s">
        <v>1995</v>
      </c>
      <c r="G765" t="s">
        <v>561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6" t="str">
        <f>"item_"&amp;CONTROL[[#This Row],[VEHIDCODE]]</f>
        <v>item_mu_Coach_Gen4_Russian_Intercity_Coach</v>
      </c>
      <c r="P765" s="26" t="str">
        <f>"str_"&amp;CONTROL[[#This Row],[VEHIDCODE]]</f>
        <v>str_mu_Coach_Gen4_Russian_Intercity_Coach</v>
      </c>
      <c r="Q765" s="8" t="b">
        <f>_xlfn.XLOOKUP(CONTROL[[#This Row],[VEHIDCODE]],PROPERTIES[VEHIDCODE],PROPERTIES[IS_CONCEPT])="IS_CONCEPT"</f>
        <v>0</v>
      </c>
      <c r="R765" s="8" t="b">
        <f>_xlfn.XLOOKUP(CONTROL[[#This Row],[VEHIDCODE]],PROPERTIES[VEHIDCODE],PROPERTIES[EXCLUDE])</f>
        <v>0</v>
      </c>
    </row>
    <row r="766" spans="1:18">
      <c r="A766" s="2" t="s">
        <v>138</v>
      </c>
      <c r="B766" s="26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7" t="s">
        <v>508</v>
      </c>
      <c r="G766" t="s">
        <v>561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6" t="str">
        <f>"item_"&amp;CONTROL[[#This Row],[VEHIDCODE]]</f>
        <v>item_mu_Coach_Gen4_Russian_Regional_Coach</v>
      </c>
      <c r="P766" s="26" t="str">
        <f>"str_"&amp;CONTROL[[#This Row],[VEHIDCODE]]</f>
        <v>str_mu_Coach_Gen4_Russian_Regional_Coach</v>
      </c>
      <c r="Q766" s="8" t="b">
        <f>_xlfn.XLOOKUP(CONTROL[[#This Row],[VEHIDCODE]],PROPERTIES[VEHIDCODE],PROPERTIES[IS_CONCEPT])="IS_CONCEPT"</f>
        <v>0</v>
      </c>
      <c r="R766" s="8" t="b">
        <f>_xlfn.XLOOKUP(CONTROL[[#This Row],[VEHIDCODE]],PROPERTIES[VEHIDCODE],PROPERTIES[EXCLUDE])</f>
        <v>0</v>
      </c>
    </row>
    <row r="767" spans="1:18">
      <c r="A767" s="2" t="s">
        <v>139</v>
      </c>
      <c r="B767" s="26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7" t="s">
        <v>509</v>
      </c>
      <c r="G767" t="s">
        <v>561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6" t="str">
        <f>"item_"&amp;CONTROL[[#This Row],[VEHIDCODE]]</f>
        <v>item_mu_Coach_Gen4_Russian_Mail_Coach</v>
      </c>
      <c r="P767" s="26" t="str">
        <f>"str_"&amp;CONTROL[[#This Row],[VEHIDCODE]]</f>
        <v>str_mu_Coach_Gen4_Russian_Mail_Coach</v>
      </c>
      <c r="Q767" s="8" t="b">
        <f>_xlfn.XLOOKUP(CONTROL[[#This Row],[VEHIDCODE]],PROPERTIES[VEHIDCODE],PROPERTIES[IS_CONCEPT])="IS_CONCEPT"</f>
        <v>0</v>
      </c>
      <c r="R767" s="8" t="b">
        <f>_xlfn.XLOOKUP(CONTROL[[#This Row],[VEHIDCODE]],PROPERTIES[VEHIDCODE],PROPERTIES[EXCLUDE])</f>
        <v>0</v>
      </c>
    </row>
    <row r="768" spans="1:18">
      <c r="A768" s="2" t="s">
        <v>140</v>
      </c>
      <c r="B768" s="26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7" t="s">
        <v>510</v>
      </c>
      <c r="G768" t="s">
        <v>561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6" t="str">
        <f>"item_"&amp;CONTROL[[#This Row],[VEHIDCODE]]</f>
        <v>item_mu_Coach_Gen4_Superliner_Coach</v>
      </c>
      <c r="P768" s="26" t="str">
        <f>"str_"&amp;CONTROL[[#This Row],[VEHIDCODE]]</f>
        <v>str_mu_Coach_Gen4_Superliner_Coach</v>
      </c>
      <c r="Q768" s="8" t="b">
        <f>_xlfn.XLOOKUP(CONTROL[[#This Row],[VEHIDCODE]],PROPERTIES[VEHIDCODE],PROPERTIES[IS_CONCEPT])="IS_CONCEPT"</f>
        <v>0</v>
      </c>
      <c r="R768" s="8" t="b">
        <f>_xlfn.XLOOKUP(CONTROL[[#This Row],[VEHIDCODE]],PROPERTIES[VEHIDCODE],PROPERTIES[EXCLUDE])</f>
        <v>0</v>
      </c>
    </row>
    <row r="769" spans="1:18">
      <c r="A769" s="2" t="s">
        <v>141</v>
      </c>
      <c r="B769" s="26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7" t="s">
        <v>511</v>
      </c>
      <c r="G769" t="s">
        <v>561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6" t="str">
        <f>"item_"&amp;CONTROL[[#This Row],[VEHIDCODE]]</f>
        <v>item_mu_Coach_Gen4_Superliner_California</v>
      </c>
      <c r="P769" s="26" t="str">
        <f>"str_"&amp;CONTROL[[#This Row],[VEHIDCODE]]</f>
        <v>str_mu_Coach_Gen4_Superliner_California</v>
      </c>
      <c r="Q769" s="8" t="b">
        <f>_xlfn.XLOOKUP(CONTROL[[#This Row],[VEHIDCODE]],PROPERTIES[VEHIDCODE],PROPERTIES[IS_CONCEPT])="IS_CONCEPT"</f>
        <v>0</v>
      </c>
      <c r="R769" s="8" t="b">
        <f>_xlfn.XLOOKUP(CONTROL[[#This Row],[VEHIDCODE]],PROPERTIES[VEHIDCODE],PROPERTIES[EXCLUDE])</f>
        <v>0</v>
      </c>
    </row>
    <row r="770" spans="1:18">
      <c r="A770" s="2" t="s">
        <v>142</v>
      </c>
      <c r="B770" s="26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7" t="s">
        <v>512</v>
      </c>
      <c r="G770" t="s">
        <v>561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6" t="str">
        <f>"item_"&amp;CONTROL[[#This Row],[VEHIDCODE]]</f>
        <v>item_mu_Coach_Gen4_Amfleet_Regional_Coach</v>
      </c>
      <c r="P770" s="26" t="str">
        <f>"str_"&amp;CONTROL[[#This Row],[VEHIDCODE]]</f>
        <v>str_mu_Coach_Gen4_Amfleet_Regional_Coach</v>
      </c>
      <c r="Q770" s="8" t="b">
        <f>_xlfn.XLOOKUP(CONTROL[[#This Row],[VEHIDCODE]],PROPERTIES[VEHIDCODE],PROPERTIES[IS_CONCEPT])="IS_CONCEPT"</f>
        <v>0</v>
      </c>
      <c r="R770" s="8" t="b">
        <f>_xlfn.XLOOKUP(CONTROL[[#This Row],[VEHIDCODE]],PROPERTIES[VEHIDCODE],PROPERTIES[EXCLUDE])</f>
        <v>0</v>
      </c>
    </row>
    <row r="771" spans="1:18">
      <c r="A771" s="2" t="s">
        <v>143</v>
      </c>
      <c r="B771" s="26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7" t="s">
        <v>513</v>
      </c>
      <c r="G771" t="s">
        <v>561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6" t="str">
        <f>"item_"&amp;CONTROL[[#This Row],[VEHIDCODE]]</f>
        <v>item_mu_Coach_Gen4_Amfleet_Intercity_Coach</v>
      </c>
      <c r="P771" s="26" t="str">
        <f>"str_"&amp;CONTROL[[#This Row],[VEHIDCODE]]</f>
        <v>str_mu_Coach_Gen4_Amfleet_Intercity_Coach</v>
      </c>
      <c r="Q771" s="8" t="b">
        <f>_xlfn.XLOOKUP(CONTROL[[#This Row],[VEHIDCODE]],PROPERTIES[VEHIDCODE],PROPERTIES[IS_CONCEPT])="IS_CONCEPT"</f>
        <v>0</v>
      </c>
      <c r="R771" s="8" t="b">
        <f>_xlfn.XLOOKUP(CONTROL[[#This Row],[VEHIDCODE]],PROPERTIES[VEHIDCODE],PROPERTIES[EXCLUDE])</f>
        <v>0</v>
      </c>
    </row>
    <row r="772" spans="1:18">
      <c r="A772" s="2" t="s">
        <v>144</v>
      </c>
      <c r="B772" s="26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7" t="s">
        <v>514</v>
      </c>
      <c r="G772" t="s">
        <v>561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6" t="str">
        <f>"item_"&amp;CONTROL[[#This Row],[VEHIDCODE]]</f>
        <v>item_mu_Coach_Gen4_Comet_Commuter_Coach</v>
      </c>
      <c r="P772" s="26" t="str">
        <f>"str_"&amp;CONTROL[[#This Row],[VEHIDCODE]]</f>
        <v>str_mu_Coach_Gen4_Comet_Commuter_Coach</v>
      </c>
      <c r="Q772" s="8" t="b">
        <f>_xlfn.XLOOKUP(CONTROL[[#This Row],[VEHIDCODE]],PROPERTIES[VEHIDCODE],PROPERTIES[IS_CONCEPT])="IS_CONCEPT"</f>
        <v>0</v>
      </c>
      <c r="R772" s="8" t="b">
        <f>_xlfn.XLOOKUP(CONTROL[[#This Row],[VEHIDCODE]],PROPERTIES[VEHIDCODE],PROPERTIES[EXCLUDE])</f>
        <v>0</v>
      </c>
    </row>
    <row r="773" spans="1:18">
      <c r="A773" s="2" t="s">
        <v>145</v>
      </c>
      <c r="B773" s="26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7" t="s">
        <v>515</v>
      </c>
      <c r="G773" t="s">
        <v>561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6" t="str">
        <f>"item_"&amp;CONTROL[[#This Row],[VEHIDCODE]]</f>
        <v>item_mu_Coach_Gen4_Horizon_Regional_Coach</v>
      </c>
      <c r="P773" s="26" t="str">
        <f>"str_"&amp;CONTROL[[#This Row],[VEHIDCODE]]</f>
        <v>str_mu_Coach_Gen4_Horizon_Regional_Coach</v>
      </c>
      <c r="Q773" s="8" t="b">
        <f>_xlfn.XLOOKUP(CONTROL[[#This Row],[VEHIDCODE]],PROPERTIES[VEHIDCODE],PROPERTIES[IS_CONCEPT])="IS_CONCEPT"</f>
        <v>0</v>
      </c>
      <c r="R773" s="8" t="b">
        <f>_xlfn.XLOOKUP(CONTROL[[#This Row],[VEHIDCODE]],PROPERTIES[VEHIDCODE],PROPERTIES[EXCLUDE])</f>
        <v>0</v>
      </c>
    </row>
    <row r="774" spans="1:18">
      <c r="A774" s="2" t="s">
        <v>146</v>
      </c>
      <c r="B774" s="26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7" t="s">
        <v>516</v>
      </c>
      <c r="G774" t="s">
        <v>561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6" t="str">
        <f>"item_"&amp;CONTROL[[#This Row],[VEHIDCODE]]</f>
        <v>item_mu_Coach_Gen4_Horizon_Baggage_Coach</v>
      </c>
      <c r="P774" s="26" t="str">
        <f>"str_"&amp;CONTROL[[#This Row],[VEHIDCODE]]</f>
        <v>str_mu_Coach_Gen4_Horizon_Baggage_Coach</v>
      </c>
      <c r="Q774" s="8" t="b">
        <f>_xlfn.XLOOKUP(CONTROL[[#This Row],[VEHIDCODE]],PROPERTIES[VEHIDCODE],PROPERTIES[IS_CONCEPT])="IS_CONCEPT"</f>
        <v>0</v>
      </c>
      <c r="R774" s="8" t="b">
        <f>_xlfn.XLOOKUP(CONTROL[[#This Row],[VEHIDCODE]],PROPERTIES[VEHIDCODE],PROPERTIES[EXCLUDE])</f>
        <v>0</v>
      </c>
    </row>
    <row r="775" spans="1:18">
      <c r="A775" s="2" t="s">
        <v>147</v>
      </c>
      <c r="B775" s="26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7" t="s">
        <v>517</v>
      </c>
      <c r="G775" t="s">
        <v>561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6" t="str">
        <f>"item_"&amp;CONTROL[[#This Row],[VEHIDCODE]]</f>
        <v>item_mu_Coach_Gen4_Bombardier_Bi_level</v>
      </c>
      <c r="P775" s="26" t="str">
        <f>"str_"&amp;CONTROL[[#This Row],[VEHIDCODE]]</f>
        <v>str_mu_Coach_Gen4_Bombardier_Bi_level</v>
      </c>
      <c r="Q775" s="8" t="b">
        <f>_xlfn.XLOOKUP(CONTROL[[#This Row],[VEHIDCODE]],PROPERTIES[VEHIDCODE],PROPERTIES[IS_CONCEPT])="IS_CONCEPT"</f>
        <v>0</v>
      </c>
      <c r="R775" s="8" t="b">
        <f>_xlfn.XLOOKUP(CONTROL[[#This Row],[VEHIDCODE]],PROPERTIES[VEHIDCODE],PROPERTIES[EXCLUDE])</f>
        <v>0</v>
      </c>
    </row>
    <row r="776" spans="1:18">
      <c r="A776" s="2" t="s">
        <v>148</v>
      </c>
      <c r="B776" s="26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7" t="s">
        <v>518</v>
      </c>
      <c r="G776" t="s">
        <v>561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6" t="str">
        <f>"item_"&amp;CONTROL[[#This Row],[VEHIDCODE]]</f>
        <v>item_mu_Coach_Gen5_High_Speed_Coach</v>
      </c>
      <c r="P776" s="26" t="str">
        <f>"str_"&amp;CONTROL[[#This Row],[VEHIDCODE]]</f>
        <v>str_mu_Coach_Gen5_High_Speed_Coach</v>
      </c>
      <c r="Q776" s="8" t="b">
        <f>_xlfn.XLOOKUP(CONTROL[[#This Row],[VEHIDCODE]],PROPERTIES[VEHIDCODE],PROPERTIES[IS_CONCEPT])="IS_CONCEPT"</f>
        <v>0</v>
      </c>
      <c r="R776" s="8" t="b">
        <f>_xlfn.XLOOKUP(CONTROL[[#This Row],[VEHIDCODE]],PROPERTIES[VEHIDCODE],PROPERTIES[EXCLUDE])</f>
        <v>0</v>
      </c>
    </row>
    <row r="777" spans="1:18">
      <c r="A777" s="2" t="s">
        <v>149</v>
      </c>
      <c r="B777" s="26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7" t="s">
        <v>519</v>
      </c>
      <c r="G777" t="s">
        <v>561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6" t="str">
        <f>"item_"&amp;CONTROL[[#This Row],[VEHIDCODE]]</f>
        <v>item_mu_Coach_Gen5_Modern_Regional_Coach</v>
      </c>
      <c r="P777" s="26" t="str">
        <f>"str_"&amp;CONTROL[[#This Row],[VEHIDCODE]]</f>
        <v>str_mu_Coach_Gen5_Modern_Regional_Coach</v>
      </c>
      <c r="Q777" s="8" t="b">
        <f>_xlfn.XLOOKUP(CONTROL[[#This Row],[VEHIDCODE]],PROPERTIES[VEHIDCODE],PROPERTIES[IS_CONCEPT])="IS_CONCEPT"</f>
        <v>0</v>
      </c>
      <c r="R777" s="8" t="b">
        <f>_xlfn.XLOOKUP(CONTROL[[#This Row],[VEHIDCODE]],PROPERTIES[VEHIDCODE],PROPERTIES[EXCLUDE])</f>
        <v>0</v>
      </c>
    </row>
    <row r="778" spans="1:18">
      <c r="A778" s="2" t="s">
        <v>150</v>
      </c>
      <c r="B778" s="26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7" t="s">
        <v>520</v>
      </c>
      <c r="G778" t="s">
        <v>561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6" t="str">
        <f>"item_"&amp;CONTROL[[#This Row],[VEHIDCODE]]</f>
        <v>item_mu_Coach_Gen5_Modern_Commuter_Coach</v>
      </c>
      <c r="P778" s="26" t="str">
        <f>"str_"&amp;CONTROL[[#This Row],[VEHIDCODE]]</f>
        <v>str_mu_Coach_Gen5_Modern_Commuter_Coach</v>
      </c>
      <c r="Q778" s="8" t="b">
        <f>_xlfn.XLOOKUP(CONTROL[[#This Row],[VEHIDCODE]],PROPERTIES[VEHIDCODE],PROPERTIES[IS_CONCEPT])="IS_CONCEPT"</f>
        <v>0</v>
      </c>
      <c r="R778" s="8" t="b">
        <f>_xlfn.XLOOKUP(CONTROL[[#This Row],[VEHIDCODE]],PROPERTIES[VEHIDCODE],PROPERTIES[EXCLUDE])</f>
        <v>0</v>
      </c>
    </row>
    <row r="779" spans="1:18">
      <c r="A779" s="2" t="s">
        <v>151</v>
      </c>
      <c r="B779" s="26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7" t="s">
        <v>521</v>
      </c>
      <c r="G779" t="s">
        <v>561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6" t="str">
        <f>"item_"&amp;CONTROL[[#This Row],[VEHIDCODE]]</f>
        <v>item_mu_Coach_Gen5_Modern_Double_Decker_Coach</v>
      </c>
      <c r="P779" s="26" t="str">
        <f>"str_"&amp;CONTROL[[#This Row],[VEHIDCODE]]</f>
        <v>str_mu_Coach_Gen5_Modern_Double_Decker_Coach</v>
      </c>
      <c r="Q779" s="8" t="b">
        <f>_xlfn.XLOOKUP(CONTROL[[#This Row],[VEHIDCODE]],PROPERTIES[VEHIDCODE],PROPERTIES[IS_CONCEPT])="IS_CONCEPT"</f>
        <v>0</v>
      </c>
      <c r="R779" s="8" t="b">
        <f>_xlfn.XLOOKUP(CONTROL[[#This Row],[VEHIDCODE]],PROPERTIES[VEHIDCODE],PROPERTIES[EXCLUDE])</f>
        <v>0</v>
      </c>
    </row>
    <row r="780" spans="1:18">
      <c r="A780" s="2" t="s">
        <v>152</v>
      </c>
      <c r="B780" s="26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7" t="s">
        <v>522</v>
      </c>
      <c r="G780" t="s">
        <v>561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6" t="str">
        <f>"item_"&amp;CONTROL[[#This Row],[VEHIDCODE]]</f>
        <v>item_mu_Coach_Gen5_High_Speed_Double_Decker_IC2000</v>
      </c>
      <c r="P780" s="26" t="str">
        <f>"str_"&amp;CONTROL[[#This Row],[VEHIDCODE]]</f>
        <v>str_mu_Coach_Gen5_High_Speed_Double_Decker_IC2000</v>
      </c>
      <c r="Q780" s="8" t="b">
        <f>_xlfn.XLOOKUP(CONTROL[[#This Row],[VEHIDCODE]],PROPERTIES[VEHIDCODE],PROPERTIES[IS_CONCEPT])="IS_CONCEPT"</f>
        <v>0</v>
      </c>
      <c r="R780" s="8" t="b">
        <f>_xlfn.XLOOKUP(CONTROL[[#This Row],[VEHIDCODE]],PROPERTIES[VEHIDCODE],PROPERTIES[EXCLUDE])</f>
        <v>0</v>
      </c>
    </row>
    <row r="781" spans="1:18">
      <c r="A781" s="2" t="s">
        <v>153</v>
      </c>
      <c r="B781" s="26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7" t="s">
        <v>523</v>
      </c>
      <c r="G781" t="s">
        <v>561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6" t="str">
        <f>"item_"&amp;CONTROL[[#This Row],[VEHIDCODE]]</f>
        <v>item_mu_Coach_Gen5_High_Speed_Mail_Coach</v>
      </c>
      <c r="P781" s="26" t="str">
        <f>"str_"&amp;CONTROL[[#This Row],[VEHIDCODE]]</f>
        <v>str_mu_Coach_Gen5_High_Speed_Mail_Coach</v>
      </c>
      <c r="Q781" s="8" t="b">
        <f>_xlfn.XLOOKUP(CONTROL[[#This Row],[VEHIDCODE]],PROPERTIES[VEHIDCODE],PROPERTIES[IS_CONCEPT])="IS_CONCEPT"</f>
        <v>0</v>
      </c>
      <c r="R781" s="8" t="b">
        <f>_xlfn.XLOOKUP(CONTROL[[#This Row],[VEHIDCODE]],PROPERTIES[VEHIDCODE],PROPERTIES[EXCLUDE])</f>
        <v>0</v>
      </c>
    </row>
    <row r="782" spans="1:18">
      <c r="A782" s="2" t="s">
        <v>154</v>
      </c>
      <c r="B782" s="26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7" t="s">
        <v>524</v>
      </c>
      <c r="G782" t="s">
        <v>561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6" t="str">
        <f>"item_"&amp;CONTROL[[#This Row],[VEHIDCODE]]</f>
        <v>item_mu_Coach_Gen5_Talgo_Pendular</v>
      </c>
      <c r="P782" s="26" t="str">
        <f>"str_"&amp;CONTROL[[#This Row],[VEHIDCODE]]</f>
        <v>str_mu_Coach_Gen5_Talgo_Pendular</v>
      </c>
      <c r="Q782" s="8" t="b">
        <f>_xlfn.XLOOKUP(CONTROL[[#This Row],[VEHIDCODE]],PROPERTIES[VEHIDCODE],PROPERTIES[IS_CONCEPT])="IS_CONCEPT"</f>
        <v>0</v>
      </c>
      <c r="R782" s="8" t="b">
        <f>_xlfn.XLOOKUP(CONTROL[[#This Row],[VEHIDCODE]],PROPERTIES[VEHIDCODE],PROPERTIES[EXCLUDE])</f>
        <v>0</v>
      </c>
    </row>
    <row r="783" spans="1:18">
      <c r="A783" s="2" t="s">
        <v>155</v>
      </c>
      <c r="B783" s="26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7" t="s">
        <v>525</v>
      </c>
      <c r="G783" t="s">
        <v>561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6" t="str">
        <f>"item_"&amp;CONTROL[[#This Row],[VEHIDCODE]]</f>
        <v>item_mu_Coach_Gen5_Talgo_Pendular_Mail</v>
      </c>
      <c r="P783" s="26" t="str">
        <f>"str_"&amp;CONTROL[[#This Row],[VEHIDCODE]]</f>
        <v>str_mu_Coach_Gen5_Talgo_Pendular_Mail</v>
      </c>
      <c r="Q783" s="8" t="b">
        <f>_xlfn.XLOOKUP(CONTROL[[#This Row],[VEHIDCODE]],PROPERTIES[VEHIDCODE],PROPERTIES[IS_CONCEPT])="IS_CONCEPT"</f>
        <v>0</v>
      </c>
      <c r="R783" s="8" t="b">
        <f>_xlfn.XLOOKUP(CONTROL[[#This Row],[VEHIDCODE]],PROPERTIES[VEHIDCODE],PROPERTIES[EXCLUDE])</f>
        <v>0</v>
      </c>
    </row>
    <row r="784" spans="1:18">
      <c r="A784" s="2" t="s">
        <v>156</v>
      </c>
      <c r="B784" s="26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7" t="s">
        <v>526</v>
      </c>
      <c r="G784" t="s">
        <v>561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6" t="str">
        <f>"item_"&amp;CONTROL[[#This Row],[VEHIDCODE]]</f>
        <v>item_mu_Coach_Gen6_Grand_Voyager_Coach</v>
      </c>
      <c r="P784" s="26" t="str">
        <f>"str_"&amp;CONTROL[[#This Row],[VEHIDCODE]]</f>
        <v>str_mu_Coach_Gen6_Grand_Voyager_Coach</v>
      </c>
      <c r="Q784" s="8" t="b">
        <f>_xlfn.XLOOKUP(CONTROL[[#This Row],[VEHIDCODE]],PROPERTIES[VEHIDCODE],PROPERTIES[IS_CONCEPT])="IS_CONCEPT"</f>
        <v>0</v>
      </c>
      <c r="R784" s="8" t="b">
        <f>_xlfn.XLOOKUP(CONTROL[[#This Row],[VEHIDCODE]],PROPERTIES[VEHIDCODE],PROPERTIES[EXCLUDE])</f>
        <v>0</v>
      </c>
    </row>
    <row r="785" spans="1:18">
      <c r="A785" s="2" t="s">
        <v>157</v>
      </c>
      <c r="B785" s="26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7" t="s">
        <v>527</v>
      </c>
      <c r="G785" t="s">
        <v>561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6" t="str">
        <f>"item_"&amp;CONTROL[[#This Row],[VEHIDCODE]]</f>
        <v>item_mu_Coach_Gen6_Grand_Regio_Coach</v>
      </c>
      <c r="P785" s="26" t="str">
        <f>"str_"&amp;CONTROL[[#This Row],[VEHIDCODE]]</f>
        <v>str_mu_Coach_Gen6_Grand_Regio_Coach</v>
      </c>
      <c r="Q785" s="8" t="b">
        <f>_xlfn.XLOOKUP(CONTROL[[#This Row],[VEHIDCODE]],PROPERTIES[VEHIDCODE],PROPERTIES[IS_CONCEPT])="IS_CONCEPT"</f>
        <v>0</v>
      </c>
      <c r="R785" s="8" t="b">
        <f>_xlfn.XLOOKUP(CONTROL[[#This Row],[VEHIDCODE]],PROPERTIES[VEHIDCODE],PROPERTIES[EXCLUDE])</f>
        <v>0</v>
      </c>
    </row>
    <row r="786" spans="1:18">
      <c r="A786" s="2" t="s">
        <v>158</v>
      </c>
      <c r="B786" s="26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7" t="s">
        <v>528</v>
      </c>
      <c r="G786" t="s">
        <v>561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6" t="str">
        <f>"item_"&amp;CONTROL[[#This Row],[VEHIDCODE]]</f>
        <v>item_mu_Coach_Gen6_Metropolis_Coach</v>
      </c>
      <c r="P786" s="26" t="str">
        <f>"str_"&amp;CONTROL[[#This Row],[VEHIDCODE]]</f>
        <v>str_mu_Coach_Gen6_Metropolis_Coach</v>
      </c>
      <c r="Q786" s="8" t="b">
        <f>_xlfn.XLOOKUP(CONTROL[[#This Row],[VEHIDCODE]],PROPERTIES[VEHIDCODE],PROPERTIES[IS_CONCEPT])="IS_CONCEPT"</f>
        <v>0</v>
      </c>
      <c r="R786" s="8" t="b">
        <f>_xlfn.XLOOKUP(CONTROL[[#This Row],[VEHIDCODE]],PROPERTIES[VEHIDCODE],PROPERTIES[EXCLUDE])</f>
        <v>0</v>
      </c>
    </row>
    <row r="787" spans="1:18">
      <c r="A787" s="2" t="s">
        <v>159</v>
      </c>
      <c r="B787" s="26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7" t="s">
        <v>529</v>
      </c>
      <c r="G787" t="s">
        <v>561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6" t="str">
        <f>"item_"&amp;CONTROL[[#This Row],[VEHIDCODE]]</f>
        <v>item_mu_Coach_Gen6_Speedmail_Coach</v>
      </c>
      <c r="P787" s="26" t="str">
        <f>"str_"&amp;CONTROL[[#This Row],[VEHIDCODE]]</f>
        <v>str_mu_Coach_Gen6_Speedmail_Coach</v>
      </c>
      <c r="Q787" s="8" t="b">
        <f>_xlfn.XLOOKUP(CONTROL[[#This Row],[VEHIDCODE]],PROPERTIES[VEHIDCODE],PROPERTIES[IS_CONCEPT])="IS_CONCEPT"</f>
        <v>0</v>
      </c>
      <c r="R787" s="8" t="b">
        <f>_xlfn.XLOOKUP(CONTROL[[#This Row],[VEHIDCODE]],PROPERTIES[VEHIDCODE],PROPERTIES[EXCLUDE])</f>
        <v>0</v>
      </c>
    </row>
    <row r="788" spans="1:18">
      <c r="A788" s="2" t="s">
        <v>160</v>
      </c>
      <c r="B788" s="26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7" t="s">
        <v>530</v>
      </c>
      <c r="G788" t="s">
        <v>561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6" t="str">
        <f>"item_"&amp;CONTROL[[#This Row],[VEHIDCODE]]</f>
        <v>item_mu_Coach_Gen6_Super_Regio_Coach</v>
      </c>
      <c r="P788" s="26" t="str">
        <f>"str_"&amp;CONTROL[[#This Row],[VEHIDCODE]]</f>
        <v>str_mu_Coach_Gen6_Super_Regio_Coach</v>
      </c>
      <c r="Q788" s="8" t="b">
        <f>_xlfn.XLOOKUP(CONTROL[[#This Row],[VEHIDCODE]],PROPERTIES[VEHIDCODE],PROPERTIES[IS_CONCEPT])="IS_CONCEPT"</f>
        <v>0</v>
      </c>
      <c r="R788" s="8" t="b">
        <f>_xlfn.XLOOKUP(CONTROL[[#This Row],[VEHIDCODE]],PROPERTIES[VEHIDCODE],PROPERTIES[EXCLUDE])</f>
        <v>0</v>
      </c>
    </row>
    <row r="789" spans="1:18">
      <c r="A789" s="2" t="s">
        <v>161</v>
      </c>
      <c r="B789" s="26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7" t="s">
        <v>531</v>
      </c>
      <c r="G789" t="s">
        <v>561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6" t="str">
        <f>"item_"&amp;CONTROL[[#This Row],[VEHIDCODE]]</f>
        <v>item_mu_Coach_Gen6_Super_Voyager_Coach</v>
      </c>
      <c r="P789" s="26" t="str">
        <f>"str_"&amp;CONTROL[[#This Row],[VEHIDCODE]]</f>
        <v>str_mu_Coach_Gen6_Super_Voyager_Coach</v>
      </c>
      <c r="Q789" s="8" t="b">
        <f>_xlfn.XLOOKUP(CONTROL[[#This Row],[VEHIDCODE]],PROPERTIES[VEHIDCODE],PROPERTIES[IS_CONCEPT])="IS_CONCEPT"</f>
        <v>0</v>
      </c>
      <c r="R789" s="8" t="b">
        <f>_xlfn.XLOOKUP(CONTROL[[#This Row],[VEHIDCODE]],PROPERTIES[VEHIDCODE],PROPERTIES[EXCLUDE])</f>
        <v>0</v>
      </c>
    </row>
    <row r="790" spans="1:18">
      <c r="A790" t="s">
        <v>3346</v>
      </c>
      <c r="B790" s="26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7" t="s">
        <v>2638</v>
      </c>
      <c r="G790" t="s">
        <v>561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6" t="str">
        <f>"item_"&amp;CONTROL[[#This Row],[VEHIDCODE]]</f>
        <v>item_diesel_Alsthom_AD30B</v>
      </c>
      <c r="P790" s="26" t="str">
        <f>"str_"&amp;CONTROL[[#This Row],[VEHIDCODE]]</f>
        <v>str_diesel_Alsthom_AD30B</v>
      </c>
      <c r="Q790" s="8" t="b">
        <f>_xlfn.XLOOKUP(CONTROL[[#This Row],[VEHIDCODE]],PROPERTIES[VEHIDCODE],PROPERTIES[IS_CONCEPT])="IS_CONCEPT"</f>
        <v>0</v>
      </c>
      <c r="R790" s="8" t="b">
        <f>_xlfn.XLOOKUP(CONTROL[[#This Row],[VEHIDCODE]],PROPERTIES[VEHIDCODE],PROPERTIES[EXCLUDE])</f>
        <v>0</v>
      </c>
    </row>
    <row r="791" spans="1:18">
      <c r="A791" t="s">
        <v>3347</v>
      </c>
      <c r="B791" s="26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7" t="s">
        <v>2514</v>
      </c>
      <c r="G791" t="s">
        <v>1206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6" t="str">
        <f>"item_"&amp;CONTROL[[#This Row],[VEHIDCODE]]</f>
        <v>item_steam_Porter_2_8_2_Class_200_Katanga_Mikado</v>
      </c>
      <c r="P791" s="26" t="str">
        <f>"str_"&amp;CONTROL[[#This Row],[VEHIDCODE]]</f>
        <v>str_steam_Porter_2_8_2_Class_200_Katanga_Mikado</v>
      </c>
      <c r="Q791" s="8" t="b">
        <f>_xlfn.XLOOKUP(CONTROL[[#This Row],[VEHIDCODE]],PROPERTIES[VEHIDCODE],PROPERTIES[IS_CONCEPT])="IS_CONCEPT"</f>
        <v>0</v>
      </c>
      <c r="R791" s="8" t="b">
        <f>_xlfn.XLOOKUP(CONTROL[[#This Row],[VEHIDCODE]],PROPERTIES[VEHIDCODE],PROPERTIES[EXCLUDE])</f>
        <v>0</v>
      </c>
    </row>
    <row r="792" spans="1:18">
      <c r="A792" s="2" t="s">
        <v>3348</v>
      </c>
      <c r="B792" s="26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7" t="s">
        <v>2515</v>
      </c>
      <c r="G792" t="s">
        <v>1638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6" t="str">
        <f>"item_"&amp;CONTROL[[#This Row],[VEHIDCODE]]</f>
        <v>item_cargoemu_Kawasaki_Nippon_Sharyo_Toshiba_M250</v>
      </c>
      <c r="P792" s="26" t="str">
        <f>"str_"&amp;CONTROL[[#This Row],[VEHIDCODE]]</f>
        <v>str_cargoemu_Kawasaki_Nippon_Sharyo_Toshiba_M250</v>
      </c>
      <c r="Q792" s="8" t="b">
        <f>_xlfn.XLOOKUP(CONTROL[[#This Row],[VEHIDCODE]],PROPERTIES[VEHIDCODE],PROPERTIES[IS_CONCEPT])="IS_CONCEPT"</f>
        <v>0</v>
      </c>
      <c r="R792" s="8" t="b">
        <f>_xlfn.XLOOKUP(CONTROL[[#This Row],[VEHIDCODE]],PROPERTIES[VEHIDCODE],PROPERTIES[EXCLUDE])</f>
        <v>0</v>
      </c>
    </row>
    <row r="793" spans="1:18">
      <c r="A793" t="s">
        <v>3349</v>
      </c>
      <c r="B793" s="26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7" t="s">
        <v>2516</v>
      </c>
      <c r="G793" t="s">
        <v>1695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6" t="str">
        <f>"item_"&amp;CONTROL[[#This Row],[VEHIDCODE]]</f>
        <v>item_rbs_Esslingen_MAN_Hohenzollern_Thomas</v>
      </c>
      <c r="P793" s="26" t="str">
        <f>"str_"&amp;CONTROL[[#This Row],[VEHIDCODE]]</f>
        <v>str_rbs_Esslingen_MAN_Hohenzollern_Thomas</v>
      </c>
      <c r="Q793" s="8" t="b">
        <f>_xlfn.XLOOKUP(CONTROL[[#This Row],[VEHIDCODE]],PROPERTIES[VEHIDCODE],PROPERTIES[IS_CONCEPT])="IS_CONCEPT"</f>
        <v>0</v>
      </c>
      <c r="R793" s="8" t="b">
        <f>_xlfn.XLOOKUP(CONTROL[[#This Row],[VEHIDCODE]],PROPERTIES[VEHIDCODE],PROPERTIES[EXCLUDE])</f>
        <v>0</v>
      </c>
    </row>
    <row r="794" spans="1:18">
      <c r="A794" s="2" t="s">
        <v>3350</v>
      </c>
      <c r="B794" s="26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7" t="s">
        <v>2517</v>
      </c>
      <c r="G794" t="s">
        <v>1079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6" t="str">
        <f>"item_"&amp;CONTROL[[#This Row],[VEHIDCODE]]</f>
        <v>item_rbs_Komarek_NOLB_30_33</v>
      </c>
      <c r="P794" s="26" t="str">
        <f>"str_"&amp;CONTROL[[#This Row],[VEHIDCODE]]</f>
        <v>str_rbs_Komarek_NOLB_30_33</v>
      </c>
      <c r="Q794" s="8" t="b">
        <f>_xlfn.XLOOKUP(CONTROL[[#This Row],[VEHIDCODE]],PROPERTIES[VEHIDCODE],PROPERTIES[IS_CONCEPT])="IS_CONCEPT"</f>
        <v>0</v>
      </c>
      <c r="R794" s="8" t="b">
        <f>_xlfn.XLOOKUP(CONTROL[[#This Row],[VEHIDCODE]],PROPERTIES[VEHIDCODE],PROPERTIES[EXCLUDE])</f>
        <v>0</v>
      </c>
    </row>
    <row r="795" spans="1:18">
      <c r="A795" t="s">
        <v>3351</v>
      </c>
      <c r="B795" s="26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7" t="s">
        <v>2518</v>
      </c>
      <c r="G795" t="s">
        <v>1696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6" t="str">
        <f>"item_"&amp;CONTROL[[#This Row],[VEHIDCODE]]</f>
        <v>item_steam_Henschel_4_4_2_19906</v>
      </c>
      <c r="P795" s="26" t="str">
        <f>"str_"&amp;CONTROL[[#This Row],[VEHIDCODE]]</f>
        <v>str_steam_Henschel_4_4_2_19906</v>
      </c>
      <c r="Q795" s="8" t="b">
        <f>_xlfn.XLOOKUP(CONTROL[[#This Row],[VEHIDCODE]],PROPERTIES[VEHIDCODE],PROPERTIES[IS_CONCEPT])="IS_CONCEPT"</f>
        <v>0</v>
      </c>
      <c r="R795" s="8" t="b">
        <f>_xlfn.XLOOKUP(CONTROL[[#This Row],[VEHIDCODE]],PROPERTIES[VEHIDCODE],PROPERTIES[EXCLUDE])</f>
        <v>0</v>
      </c>
    </row>
    <row r="796" spans="1:18">
      <c r="A796" t="s">
        <v>3528</v>
      </c>
      <c r="B796" s="26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7" t="s">
        <v>3529</v>
      </c>
      <c r="G796" t="s">
        <v>1697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6" t="str">
        <f>"item_"&amp;CONTROL[[#This Row],[VEHIDCODE]]</f>
        <v>item_steam_Haine_Saint_Pierre_2_6_0_0_6_2T_Golwe</v>
      </c>
      <c r="P796" s="26" t="str">
        <f>"str_"&amp;CONTROL[[#This Row],[VEHIDCODE]]</f>
        <v>str_steam_Haine_Saint_Pierre_2_6_0_0_6_2T_Golwe</v>
      </c>
      <c r="Q796" s="8" t="b">
        <f>_xlfn.XLOOKUP(CONTROL[[#This Row],[VEHIDCODE]],PROPERTIES[VEHIDCODE],PROPERTIES[IS_CONCEPT])="IS_CONCEPT"</f>
        <v>0</v>
      </c>
      <c r="R796" s="8" t="b">
        <f>_xlfn.XLOOKUP(CONTROL[[#This Row],[VEHIDCODE]],PROPERTIES[VEHIDCODE],PROPERTIES[EXCLUDE])</f>
        <v>0</v>
      </c>
    </row>
    <row r="797" spans="1:18">
      <c r="A797" t="s">
        <v>3352</v>
      </c>
      <c r="B797" s="26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7" t="s">
        <v>2519</v>
      </c>
      <c r="G797" t="s">
        <v>1704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6" t="str">
        <f>"item_"&amp;CONTROL[[#This Row],[VEHIDCODE]]</f>
        <v>item_diesel_Henschel_EMD_TT12</v>
      </c>
      <c r="P797" s="26" t="str">
        <f>"str_"&amp;CONTROL[[#This Row],[VEHIDCODE]]</f>
        <v>str_diesel_Henschel_EMD_TT12</v>
      </c>
      <c r="Q797" s="8" t="b">
        <f>_xlfn.XLOOKUP(CONTROL[[#This Row],[VEHIDCODE]],PROPERTIES[VEHIDCODE],PROPERTIES[IS_CONCEPT])="IS_CONCEPT"</f>
        <v>0</v>
      </c>
      <c r="R797" s="8" t="b">
        <f>_xlfn.XLOOKUP(CONTROL[[#This Row],[VEHIDCODE]],PROPERTIES[VEHIDCODE],PROPERTIES[EXCLUDE])</f>
        <v>0</v>
      </c>
    </row>
    <row r="798" spans="1:18">
      <c r="A798" t="s">
        <v>3353</v>
      </c>
      <c r="B798" s="26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7" t="s">
        <v>2520</v>
      </c>
      <c r="G798" t="s">
        <v>1706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6" t="str">
        <f>"item_"&amp;CONTROL[[#This Row],[VEHIDCODE]]</f>
        <v>item_diesel_Henschel_GE_G16</v>
      </c>
      <c r="P798" s="26" t="str">
        <f>"str_"&amp;CONTROL[[#This Row],[VEHIDCODE]]</f>
        <v>str_diesel_Henschel_GE_G16</v>
      </c>
      <c r="Q798" s="8" t="b">
        <f>_xlfn.XLOOKUP(CONTROL[[#This Row],[VEHIDCODE]],PROPERTIES[VEHIDCODE],PROPERTIES[IS_CONCEPT])="IS_CONCEPT"</f>
        <v>0</v>
      </c>
      <c r="R798" s="8" t="b">
        <f>_xlfn.XLOOKUP(CONTROL[[#This Row],[VEHIDCODE]],PROPERTIES[VEHIDCODE],PROPERTIES[EXCLUDE])</f>
        <v>0</v>
      </c>
    </row>
    <row r="799" spans="1:18">
      <c r="A799" t="s">
        <v>3354</v>
      </c>
      <c r="B799" s="26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7" t="s">
        <v>2521</v>
      </c>
      <c r="G799" t="s">
        <v>1707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6" t="str">
        <f>"item_"&amp;CONTROL[[#This Row],[VEHIDCODE]]</f>
        <v>item_electric_ACEC_BN_Type_2450</v>
      </c>
      <c r="P799" s="26" t="str">
        <f>"str_"&amp;CONTROL[[#This Row],[VEHIDCODE]]</f>
        <v>str_electric_ACEC_BN_Type_2450</v>
      </c>
      <c r="Q799" s="8" t="b">
        <f>_xlfn.XLOOKUP(CONTROL[[#This Row],[VEHIDCODE]],PROPERTIES[VEHIDCODE],PROPERTIES[IS_CONCEPT])="IS_CONCEPT"</f>
        <v>0</v>
      </c>
      <c r="R799" s="8" t="b">
        <f>_xlfn.XLOOKUP(CONTROL[[#This Row],[VEHIDCODE]],PROPERTIES[VEHIDCODE],PROPERTIES[EXCLUDE])</f>
        <v>0</v>
      </c>
    </row>
    <row r="800" spans="1:18">
      <c r="A800" t="s">
        <v>3355</v>
      </c>
      <c r="B800" s="26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7" t="s">
        <v>2639</v>
      </c>
      <c r="G800" t="s">
        <v>1708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6" t="str">
        <f>"item_"&amp;CONTROL[[#This Row],[VEHIDCODE]]</f>
        <v>item_diesel_Alsthom_BB_BB_300</v>
      </c>
      <c r="P800" s="26" t="str">
        <f>"str_"&amp;CONTROL[[#This Row],[VEHIDCODE]]</f>
        <v>str_diesel_Alsthom_BB_BB_300</v>
      </c>
      <c r="Q800" s="8" t="b">
        <f>_xlfn.XLOOKUP(CONTROL[[#This Row],[VEHIDCODE]],PROPERTIES[VEHIDCODE],PROPERTIES[IS_CONCEPT])="IS_CONCEPT"</f>
        <v>0</v>
      </c>
      <c r="R800" s="8" t="b">
        <f>_xlfn.XLOOKUP(CONTROL[[#This Row],[VEHIDCODE]],PROPERTIES[VEHIDCODE],PROPERTIES[EXCLUDE])</f>
        <v>0</v>
      </c>
    </row>
    <row r="801" spans="1:18">
      <c r="A801" t="s">
        <v>3356</v>
      </c>
      <c r="B801" s="26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7" t="s">
        <v>3591</v>
      </c>
      <c r="G801" t="s">
        <v>561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6" t="str">
        <f>"item_"&amp;CONTROL[[#This Row],[VEHIDCODE]]</f>
        <v>item_diesel_Sorefame_DE8</v>
      </c>
      <c r="P801" s="26" t="str">
        <f>"str_"&amp;CONTROL[[#This Row],[VEHIDCODE]]</f>
        <v>str_diesel_Sorefame_DE8</v>
      </c>
      <c r="Q801" s="8" t="b">
        <f>_xlfn.XLOOKUP(CONTROL[[#This Row],[VEHIDCODE]],PROPERTIES[VEHIDCODE],PROPERTIES[IS_CONCEPT])="IS_CONCEPT"</f>
        <v>0</v>
      </c>
      <c r="R801" s="8" t="b">
        <f>_xlfn.XLOOKUP(CONTROL[[#This Row],[VEHIDCODE]],PROPERTIES[VEHIDCODE],PROPERTIES[EXCLUDE])</f>
        <v>0</v>
      </c>
    </row>
    <row r="802" spans="1:18">
      <c r="A802" t="s">
        <v>3357</v>
      </c>
      <c r="B802" s="26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7" t="s">
        <v>2040</v>
      </c>
      <c r="G802" t="s">
        <v>1709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6" t="str">
        <f>"item_"&amp;CONTROL[[#This Row],[VEHIDCODE]]</f>
        <v>item_diesel_GMD_GT22LC_2</v>
      </c>
      <c r="P802" s="26" t="str">
        <f>"str_"&amp;CONTROL[[#This Row],[VEHIDCODE]]</f>
        <v>str_diesel_GMD_GT22LC_2</v>
      </c>
      <c r="Q802" s="8" t="b">
        <f>_xlfn.XLOOKUP(CONTROL[[#This Row],[VEHIDCODE]],PROPERTIES[VEHIDCODE],PROPERTIES[IS_CONCEPT])="IS_CONCEPT"</f>
        <v>0</v>
      </c>
      <c r="R802" s="8" t="b">
        <f>_xlfn.XLOOKUP(CONTROL[[#This Row],[VEHIDCODE]],PROPERTIES[VEHIDCODE],PROPERTIES[EXCLUDE])</f>
        <v>0</v>
      </c>
    </row>
    <row r="803" spans="1:18">
      <c r="A803" t="s">
        <v>3358</v>
      </c>
      <c r="B803" s="26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7" t="s">
        <v>1778</v>
      </c>
      <c r="G803" t="s">
        <v>1710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6" t="str">
        <f>"item_"&amp;CONTROL[[#This Row],[VEHIDCODE]]</f>
        <v>item_electric_TRC_E6800</v>
      </c>
      <c r="P803" s="26" t="str">
        <f>"str_"&amp;CONTROL[[#This Row],[VEHIDCODE]]</f>
        <v>str_electric_TRC_E6800</v>
      </c>
      <c r="Q803" s="8" t="b">
        <f>_xlfn.XLOOKUP(CONTROL[[#This Row],[VEHIDCODE]],PROPERTIES[VEHIDCODE],PROPERTIES[IS_CONCEPT])="IS_CONCEPT"</f>
        <v>0</v>
      </c>
      <c r="R803" s="8" t="b">
        <f>_xlfn.XLOOKUP(CONTROL[[#This Row],[VEHIDCODE]],PROPERTIES[VEHIDCODE],PROPERTIES[EXCLUDE])</f>
        <v>0</v>
      </c>
    </row>
    <row r="804" spans="1:18">
      <c r="A804" s="2" t="s">
        <v>3359</v>
      </c>
      <c r="B804" s="35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4">
        <f ca="1">_xlfn.MAXIFS(INDIRECT("E2:E"&amp;ROW()-1,TRUE),INDIRECT("D2:D"&amp;ROW()-1,TRUE),CONTROL[[#This Row],[VEHID_ID_CATEGORY]])+1</f>
        <v>9056</v>
      </c>
      <c r="F804" s="37" t="s">
        <v>1712</v>
      </c>
      <c r="G804" t="s">
        <v>1683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6" t="str">
        <f>"item_"&amp;CONTROL[[#This Row],[VEHIDCODE]]</f>
        <v>item_mtro_Brooklyn_Union_Gate_Elevated</v>
      </c>
      <c r="P804" s="26" t="str">
        <f>"str_"&amp;CONTROL[[#This Row],[VEHIDCODE]]</f>
        <v>str_mtro_Brooklyn_Union_Gate_Elevated</v>
      </c>
      <c r="Q804" s="8" t="b">
        <f>_xlfn.XLOOKUP(CONTROL[[#This Row],[VEHIDCODE]],PROPERTIES[VEHIDCODE],PROPERTIES[IS_CONCEPT])="IS_CONCEPT"</f>
        <v>0</v>
      </c>
      <c r="R804" s="8" t="b">
        <f>_xlfn.XLOOKUP(CONTROL[[#This Row],[VEHIDCODE]],PROPERTIES[VEHIDCODE],PROPERTIES[EXCLUDE])</f>
        <v>0</v>
      </c>
    </row>
    <row r="805" spans="1:18">
      <c r="A805" s="2" t="s">
        <v>1782</v>
      </c>
      <c r="B805" s="26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4">
        <f ca="1">_xlfn.MAXIFS(INDIRECT("E2:E"&amp;ROW()-1,TRUE),INDIRECT("D2:D"&amp;ROW()-1,TRUE),CONTROL[[#This Row],[VEHID_ID_CATEGORY]])+1</f>
        <v>11071</v>
      </c>
      <c r="F805" s="38" t="s">
        <v>1780</v>
      </c>
      <c r="G805" t="s">
        <v>561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6" t="str">
        <f>"item_"&amp;CONTROL[[#This Row],[VEHIDCODE]]</f>
        <v>item_mu_Coach_Gen5_CityNightLine_Sleeper</v>
      </c>
      <c r="P805" s="26" t="str">
        <f>"str_"&amp;CONTROL[[#This Row],[VEHIDCODE]]</f>
        <v>str_mu_Coach_Gen5_CityNightLine_Sleeper</v>
      </c>
      <c r="Q805" s="8" t="b">
        <f>_xlfn.XLOOKUP(CONTROL[[#This Row],[VEHIDCODE]],PROPERTIES[VEHIDCODE],PROPERTIES[IS_CONCEPT])="IS_CONCEPT"</f>
        <v>0</v>
      </c>
      <c r="R805" s="8" t="b">
        <f>_xlfn.XLOOKUP(CONTROL[[#This Row],[VEHIDCODE]],PROPERTIES[VEHIDCODE],PROPERTIES[EXCLUDE])</f>
        <v>0</v>
      </c>
    </row>
    <row r="806" spans="1:18">
      <c r="A806" t="s">
        <v>1783</v>
      </c>
      <c r="B806" s="26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4">
        <f ca="1">_xlfn.MAXIFS(INDIRECT("E2:E"&amp;ROW()-1,TRUE),INDIRECT("D2:D"&amp;ROW()-1,TRUE),CONTROL[[#This Row],[VEHID_ID_CATEGORY]])+1</f>
        <v>11072</v>
      </c>
      <c r="F806" s="38" t="s">
        <v>1781</v>
      </c>
      <c r="G806" t="s">
        <v>561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6" t="str">
        <f>"item_"&amp;CONTROL[[#This Row],[VEHIDCODE]]</f>
        <v>item_mu_Coach_Gen4_Trans_Euro_Night_Sleeper</v>
      </c>
      <c r="P806" s="26" t="str">
        <f>"str_"&amp;CONTROL[[#This Row],[VEHIDCODE]]</f>
        <v>str_mu_Coach_Gen4_Trans_Euro_Night_Sleeper</v>
      </c>
      <c r="Q806" s="8" t="b">
        <f>_xlfn.XLOOKUP(CONTROL[[#This Row],[VEHIDCODE]],PROPERTIES[VEHIDCODE],PROPERTIES[IS_CONCEPT])="IS_CONCEPT"</f>
        <v>0</v>
      </c>
      <c r="R806" s="8" t="b">
        <f>_xlfn.XLOOKUP(CONTROL[[#This Row],[VEHIDCODE]],PROPERTIES[VEHIDCODE],PROPERTIES[EXCLUDE])</f>
        <v>0</v>
      </c>
    </row>
    <row r="807" spans="1:18">
      <c r="A807" s="2" t="s">
        <v>1766</v>
      </c>
      <c r="B807" s="26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4">
        <f ca="1">_xlfn.MAXIFS(INDIRECT("E2:E"&amp;ROW()-1,TRUE),INDIRECT("D2:D"&amp;ROW()-1,TRUE),CONTROL[[#This Row],[VEHID_ID_CATEGORY]])+1</f>
        <v>12064</v>
      </c>
      <c r="F807" s="37" t="s">
        <v>1767</v>
      </c>
      <c r="G807" t="s">
        <v>561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6" t="str">
        <f>"item_"&amp;CONTROL[[#This Row],[VEHIDCODE]]</f>
        <v>item_mu_Wagon_Gen1_Livestock_Van</v>
      </c>
      <c r="P807" s="26" t="str">
        <f>"str_"&amp;CONTROL[[#This Row],[VEHIDCODE]]</f>
        <v>str_mu_Wagon_Gen1_Livestock_Van</v>
      </c>
      <c r="Q807" s="8" t="b">
        <f>_xlfn.XLOOKUP(CONTROL[[#This Row],[VEHIDCODE]],PROPERTIES[VEHIDCODE],PROPERTIES[IS_CONCEPT])="IS_CONCEPT"</f>
        <v>0</v>
      </c>
      <c r="R807" s="8" t="b">
        <f>_xlfn.XLOOKUP(CONTROL[[#This Row],[VEHIDCODE]],PROPERTIES[VEHIDCODE],PROPERTIES[EXCLUDE])</f>
        <v>0</v>
      </c>
    </row>
    <row r="808" spans="1:18">
      <c r="A808" s="2" t="s">
        <v>1761</v>
      </c>
      <c r="B808" s="26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4">
        <f ca="1">_xlfn.MAXIFS(INDIRECT("E2:E"&amp;ROW()-1,TRUE),INDIRECT("D2:D"&amp;ROW()-1,TRUE),CONTROL[[#This Row],[VEHID_ID_CATEGORY]])+1</f>
        <v>12065</v>
      </c>
      <c r="F808" s="37" t="s">
        <v>1768</v>
      </c>
      <c r="G808" t="s">
        <v>561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6" t="str">
        <f>"item_"&amp;CONTROL[[#This Row],[VEHIDCODE]]</f>
        <v>item_mu_Wagon_Gen2_Livestock_Van</v>
      </c>
      <c r="P808" s="26" t="str">
        <f>"str_"&amp;CONTROL[[#This Row],[VEHIDCODE]]</f>
        <v>str_mu_Wagon_Gen2_Livestock_Van</v>
      </c>
      <c r="Q808" s="8" t="b">
        <f>_xlfn.XLOOKUP(CONTROL[[#This Row],[VEHIDCODE]],PROPERTIES[VEHIDCODE],PROPERTIES[IS_CONCEPT])="IS_CONCEPT"</f>
        <v>0</v>
      </c>
      <c r="R808" s="8" t="b">
        <f>_xlfn.XLOOKUP(CONTROL[[#This Row],[VEHIDCODE]],PROPERTIES[VEHIDCODE],PROPERTIES[EXCLUDE])</f>
        <v>0</v>
      </c>
    </row>
    <row r="809" spans="1:18">
      <c r="A809" s="2" t="s">
        <v>1762</v>
      </c>
      <c r="B809" s="26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4">
        <f ca="1">_xlfn.MAXIFS(INDIRECT("E2:E"&amp;ROW()-1,TRUE),INDIRECT("D2:D"&amp;ROW()-1,TRUE),CONTROL[[#This Row],[VEHID_ID_CATEGORY]])+1</f>
        <v>12066</v>
      </c>
      <c r="F809" s="37" t="s">
        <v>1769</v>
      </c>
      <c r="G809" t="s">
        <v>561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6" t="str">
        <f>"item_"&amp;CONTROL[[#This Row],[VEHIDCODE]]</f>
        <v>item_mu_Wagon_Gen3_Livestock_Van</v>
      </c>
      <c r="P809" s="26" t="str">
        <f>"str_"&amp;CONTROL[[#This Row],[VEHIDCODE]]</f>
        <v>str_mu_Wagon_Gen3_Livestock_Van</v>
      </c>
      <c r="Q809" s="8" t="b">
        <f>_xlfn.XLOOKUP(CONTROL[[#This Row],[VEHIDCODE]],PROPERTIES[VEHIDCODE],PROPERTIES[IS_CONCEPT])="IS_CONCEPT"</f>
        <v>0</v>
      </c>
      <c r="R809" s="8" t="b">
        <f>_xlfn.XLOOKUP(CONTROL[[#This Row],[VEHIDCODE]],PROPERTIES[VEHIDCODE],PROPERTIES[EXCLUDE])</f>
        <v>0</v>
      </c>
    </row>
    <row r="810" spans="1:18">
      <c r="A810" s="2" t="s">
        <v>1763</v>
      </c>
      <c r="B810" s="26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4">
        <f ca="1">_xlfn.MAXIFS(INDIRECT("E2:E"&amp;ROW()-1,TRUE),INDIRECT("D2:D"&amp;ROW()-1,TRUE),CONTROL[[#This Row],[VEHID_ID_CATEGORY]])+1</f>
        <v>12067</v>
      </c>
      <c r="F810" s="37" t="s">
        <v>1770</v>
      </c>
      <c r="G810" t="s">
        <v>561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6" t="str">
        <f>"item_"&amp;CONTROL[[#This Row],[VEHIDCODE]]</f>
        <v>item_mu_Wagon_Gen4_Livestock_Van</v>
      </c>
      <c r="P810" s="26" t="str">
        <f>"str_"&amp;CONTROL[[#This Row],[VEHIDCODE]]</f>
        <v>str_mu_Wagon_Gen4_Livestock_Van</v>
      </c>
      <c r="Q810" s="8" t="b">
        <f>_xlfn.XLOOKUP(CONTROL[[#This Row],[VEHIDCODE]],PROPERTIES[VEHIDCODE],PROPERTIES[IS_CONCEPT])="IS_CONCEPT"</f>
        <v>0</v>
      </c>
      <c r="R810" s="8" t="b">
        <f>_xlfn.XLOOKUP(CONTROL[[#This Row],[VEHIDCODE]],PROPERTIES[VEHIDCODE],PROPERTIES[EXCLUDE])</f>
        <v>0</v>
      </c>
    </row>
    <row r="811" spans="1:18">
      <c r="A811" s="2" t="s">
        <v>1764</v>
      </c>
      <c r="B811" s="26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4">
        <f ca="1">_xlfn.MAXIFS(INDIRECT("E2:E"&amp;ROW()-1,TRUE),INDIRECT("D2:D"&amp;ROW()-1,TRUE),CONTROL[[#This Row],[VEHID_ID_CATEGORY]])+1</f>
        <v>12068</v>
      </c>
      <c r="F811" s="37" t="s">
        <v>1771</v>
      </c>
      <c r="G811" t="s">
        <v>561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6" t="str">
        <f>"item_"&amp;CONTROL[[#This Row],[VEHIDCODE]]</f>
        <v>item_mu_Wagon_Gen5_Livestock_Van</v>
      </c>
      <c r="P811" s="26" t="str">
        <f>"str_"&amp;CONTROL[[#This Row],[VEHIDCODE]]</f>
        <v>str_mu_Wagon_Gen5_Livestock_Van</v>
      </c>
      <c r="Q811" s="8" t="b">
        <f>_xlfn.XLOOKUP(CONTROL[[#This Row],[VEHIDCODE]],PROPERTIES[VEHIDCODE],PROPERTIES[IS_CONCEPT])="IS_CONCEPT"</f>
        <v>0</v>
      </c>
      <c r="R811" s="8" t="b">
        <f>_xlfn.XLOOKUP(CONTROL[[#This Row],[VEHIDCODE]],PROPERTIES[VEHIDCODE],PROPERTIES[EXCLUDE])</f>
        <v>0</v>
      </c>
    </row>
    <row r="812" spans="1:18">
      <c r="A812" s="2" t="s">
        <v>1765</v>
      </c>
      <c r="B812" s="26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4">
        <f ca="1">_xlfn.MAXIFS(INDIRECT("E2:E"&amp;ROW()-1,TRUE),INDIRECT("D2:D"&amp;ROW()-1,TRUE),CONTROL[[#This Row],[VEHID_ID_CATEGORY]])+1</f>
        <v>12069</v>
      </c>
      <c r="F812" s="37" t="s">
        <v>1772</v>
      </c>
      <c r="G812" t="s">
        <v>561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6" t="str">
        <f>"item_"&amp;CONTROL[[#This Row],[VEHIDCODE]]</f>
        <v>item_mu_Wagon_Gen6_Livestock_Van</v>
      </c>
      <c r="P812" s="26" t="str">
        <f>"str_"&amp;CONTROL[[#This Row],[VEHIDCODE]]</f>
        <v>str_mu_Wagon_Gen6_Livestock_Van</v>
      </c>
      <c r="Q812" s="8" t="b">
        <f>_xlfn.XLOOKUP(CONTROL[[#This Row],[VEHIDCODE]],PROPERTIES[VEHIDCODE],PROPERTIES[IS_CONCEPT])="IS_CONCEPT"</f>
        <v>0</v>
      </c>
      <c r="R812" s="8" t="b">
        <f>_xlfn.XLOOKUP(CONTROL[[#This Row],[VEHIDCODE]],PROPERTIES[VEHIDCODE],PROPERTIES[EXCLUDE])</f>
        <v>0</v>
      </c>
    </row>
    <row r="813" spans="1:18">
      <c r="A813" s="2" t="s">
        <v>1786</v>
      </c>
      <c r="B813" s="26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4">
        <f ca="1">_xlfn.MAXIFS(INDIRECT("E2:E"&amp;ROW()-1,TRUE),INDIRECT("D2:D"&amp;ROW()-1,TRUE),CONTROL[[#This Row],[VEHID_ID_CATEGORY]])+1</f>
        <v>18016</v>
      </c>
      <c r="F813" s="37" t="s">
        <v>1773</v>
      </c>
      <c r="G813" t="s">
        <v>561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6" t="str">
        <f>"item_"&amp;CONTROL[[#This Row],[VEHIDCODE]]</f>
        <v>item_mglv_Wagon_Gen7M_Livestock_Van</v>
      </c>
      <c r="P813" s="26" t="str">
        <f>"str_"&amp;CONTROL[[#This Row],[VEHIDCODE]]</f>
        <v>str_mglv_Wagon_Gen7M_Livestock_Van</v>
      </c>
      <c r="Q813" s="8" t="b">
        <f>_xlfn.XLOOKUP(CONTROL[[#This Row],[VEHIDCODE]],PROPERTIES[VEHIDCODE],PROPERTIES[IS_CONCEPT])="IS_CONCEPT"</f>
        <v>1</v>
      </c>
      <c r="R813" s="8" t="b">
        <f>_xlfn.XLOOKUP(CONTROL[[#This Row],[VEHIDCODE]],PROPERTIES[VEHIDCODE],PROPERTIES[EXCLUDE])</f>
        <v>0</v>
      </c>
    </row>
    <row r="814" spans="1:18">
      <c r="A814" t="s">
        <v>3360</v>
      </c>
      <c r="B814" s="26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7" t="s">
        <v>2698</v>
      </c>
      <c r="G814" t="s">
        <v>1777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6" t="str">
        <f>"item_"&amp;CONTROL[[#This Row],[VEHIDCODE]]</f>
        <v>item_electric_Ganz_MAVAG_VM15_V63</v>
      </c>
      <c r="P814" s="26" t="str">
        <f>"str_"&amp;CONTROL[[#This Row],[VEHIDCODE]]</f>
        <v>str_electric_Ganz_MAVAG_VM15_V63</v>
      </c>
      <c r="Q814" s="8" t="b">
        <f>_xlfn.XLOOKUP(CONTROL[[#This Row],[VEHIDCODE]],PROPERTIES[VEHIDCODE],PROPERTIES[IS_CONCEPT])="IS_CONCEPT"</f>
        <v>0</v>
      </c>
      <c r="R814" s="8" t="b">
        <f>_xlfn.XLOOKUP(CONTROL[[#This Row],[VEHIDCODE]],PROPERTIES[VEHIDCODE],PROPERTIES[EXCLUDE])</f>
        <v>0</v>
      </c>
    </row>
    <row r="815" spans="1:18">
      <c r="A815" t="s">
        <v>3361</v>
      </c>
      <c r="B815" s="26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7" t="s">
        <v>2522</v>
      </c>
      <c r="G815" t="s">
        <v>1784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6" t="str">
        <f>"item_"&amp;CONTROL[[#This Row],[VEHIDCODE]]</f>
        <v>item_mtro_BREL_ABB_London_1992_Stock</v>
      </c>
      <c r="P815" s="26" t="str">
        <f>"str_"&amp;CONTROL[[#This Row],[VEHIDCODE]]</f>
        <v>str_mtro_BREL_ABB_London_1992_Stock</v>
      </c>
      <c r="Q815" s="8" t="b">
        <f>_xlfn.XLOOKUP(CONTROL[[#This Row],[VEHIDCODE]],PROPERTIES[VEHIDCODE],PROPERTIES[IS_CONCEPT])="IS_CONCEPT"</f>
        <v>0</v>
      </c>
      <c r="R815" s="8" t="b">
        <f>_xlfn.XLOOKUP(CONTROL[[#This Row],[VEHIDCODE]],PROPERTIES[VEHIDCODE],PROPERTIES[EXCLUDE])</f>
        <v>0</v>
      </c>
    </row>
    <row r="816" spans="1:18">
      <c r="A816" s="2" t="s">
        <v>3362</v>
      </c>
      <c r="B816" s="26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7" t="s">
        <v>2523</v>
      </c>
      <c r="G816" t="s">
        <v>1785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6" t="str">
        <f>"item_"&amp;CONTROL[[#This Row],[VEHIDCODE]]</f>
        <v>item_mtro_Bombardier_Movia_London_S_Stock</v>
      </c>
      <c r="P816" s="26" t="str">
        <f>"str_"&amp;CONTROL[[#This Row],[VEHIDCODE]]</f>
        <v>str_mtro_Bombardier_Movia_London_S_Stock</v>
      </c>
      <c r="Q816" s="8" t="b">
        <f>_xlfn.XLOOKUP(CONTROL[[#This Row],[VEHIDCODE]],PROPERTIES[VEHIDCODE],PROPERTIES[IS_CONCEPT])="IS_CONCEPT"</f>
        <v>0</v>
      </c>
      <c r="R816" s="8" t="b">
        <f>_xlfn.XLOOKUP(CONTROL[[#This Row],[VEHIDCODE]],PROPERTIES[VEHIDCODE],PROPERTIES[EXCLUDE])</f>
        <v>0</v>
      </c>
    </row>
    <row r="817" spans="1:18">
      <c r="A817" s="2" t="s">
        <v>3363</v>
      </c>
      <c r="B817" s="26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7" t="s">
        <v>2524</v>
      </c>
      <c r="G817" t="s">
        <v>1787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6" t="str">
        <f>"item_"&amp;CONTROL[[#This Row],[VEHIDCODE]]</f>
        <v>item_mtro_Metro_Cammell_London_1972_Stock</v>
      </c>
      <c r="P817" s="26" t="str">
        <f>"str_"&amp;CONTROL[[#This Row],[VEHIDCODE]]</f>
        <v>str_mtro_Metro_Cammell_London_1972_Stock</v>
      </c>
      <c r="Q817" s="8" t="b">
        <f>_xlfn.XLOOKUP(CONTROL[[#This Row],[VEHIDCODE]],PROPERTIES[VEHIDCODE],PROPERTIES[IS_CONCEPT])="IS_CONCEPT"</f>
        <v>0</v>
      </c>
      <c r="R817" s="8" t="b">
        <f>_xlfn.XLOOKUP(CONTROL[[#This Row],[VEHIDCODE]],PROPERTIES[VEHIDCODE],PROPERTIES[EXCLUDE])</f>
        <v>0</v>
      </c>
    </row>
    <row r="818" spans="1:18">
      <c r="A818" s="2" t="s">
        <v>3364</v>
      </c>
      <c r="B818" s="26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7" t="s">
        <v>2525</v>
      </c>
      <c r="G818" t="s">
        <v>1788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6" t="str">
        <f>"item_"&amp;CONTROL[[#This Row],[VEHIDCODE]]</f>
        <v>item_mtro_Metro_Cammell_London_1959_Stock</v>
      </c>
      <c r="P818" s="26" t="str">
        <f>"str_"&amp;CONTROL[[#This Row],[VEHIDCODE]]</f>
        <v>str_mtro_Metro_Cammell_London_1959_Stock</v>
      </c>
      <c r="Q818" s="8" t="b">
        <f>_xlfn.XLOOKUP(CONTROL[[#This Row],[VEHIDCODE]],PROPERTIES[VEHIDCODE],PROPERTIES[IS_CONCEPT])="IS_CONCEPT"</f>
        <v>0</v>
      </c>
      <c r="R818" s="8" t="b">
        <f>_xlfn.XLOOKUP(CONTROL[[#This Row],[VEHIDCODE]],PROPERTIES[VEHIDCODE],PROPERTIES[EXCLUDE])</f>
        <v>0</v>
      </c>
    </row>
    <row r="819" spans="1:18">
      <c r="A819" s="2" t="s">
        <v>3365</v>
      </c>
      <c r="B819" s="26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7" t="s">
        <v>2526</v>
      </c>
      <c r="G819" t="s">
        <v>1794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6" t="str">
        <f>"item_"&amp;CONTROL[[#This Row],[VEHIDCODE]]</f>
        <v>item_mtro_Kawasaki_HI_C151</v>
      </c>
      <c r="P819" s="26" t="str">
        <f>"str_"&amp;CONTROL[[#This Row],[VEHIDCODE]]</f>
        <v>str_mtro_Kawasaki_HI_C151</v>
      </c>
      <c r="Q819" s="8" t="b">
        <f>_xlfn.XLOOKUP(CONTROL[[#This Row],[VEHIDCODE]],PROPERTIES[VEHIDCODE],PROPERTIES[IS_CONCEPT])="IS_CONCEPT"</f>
        <v>0</v>
      </c>
      <c r="R819" s="8" t="b">
        <f>_xlfn.XLOOKUP(CONTROL[[#This Row],[VEHIDCODE]],PROPERTIES[VEHIDCODE],PROPERTIES[EXCLUDE])</f>
        <v>0</v>
      </c>
    </row>
    <row r="820" spans="1:18">
      <c r="A820" t="s">
        <v>3366</v>
      </c>
      <c r="B820" s="26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7" t="s">
        <v>2527</v>
      </c>
      <c r="G820" t="s">
        <v>1795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6" t="str">
        <f>"item_"&amp;CONTROL[[#This Row],[VEHIDCODE]]</f>
        <v>item_mtro_Kawasaki_HI___Nippon_Sharyo_C751B</v>
      </c>
      <c r="P820" s="26" t="str">
        <f>"str_"&amp;CONTROL[[#This Row],[VEHIDCODE]]</f>
        <v>str_mtro_Kawasaki_HI___Nippon_Sharyo_C751B</v>
      </c>
      <c r="Q820" s="8" t="b">
        <f>_xlfn.XLOOKUP(CONTROL[[#This Row],[VEHIDCODE]],PROPERTIES[VEHIDCODE],PROPERTIES[IS_CONCEPT])="IS_CONCEPT"</f>
        <v>0</v>
      </c>
      <c r="R820" s="8" t="b">
        <f>_xlfn.XLOOKUP(CONTROL[[#This Row],[VEHIDCODE]],PROPERTIES[VEHIDCODE],PROPERTIES[EXCLUDE])</f>
        <v>0</v>
      </c>
    </row>
    <row r="821" spans="1:18">
      <c r="A821" t="s">
        <v>3367</v>
      </c>
      <c r="B821" s="26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7" t="s">
        <v>1796</v>
      </c>
      <c r="G821" t="s">
        <v>561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6" t="str">
        <f>"item_"&amp;CONTROL[[#This Row],[VEHIDCODE]]</f>
        <v>item_mtro_Comeng_Light_Metro_Prototype</v>
      </c>
      <c r="P821" s="26" t="str">
        <f>"str_"&amp;CONTROL[[#This Row],[VEHIDCODE]]</f>
        <v>str_mtro_Comeng_Light_Metro_Prototype</v>
      </c>
      <c r="Q821" s="8" t="b">
        <f>_xlfn.XLOOKUP(CONTROL[[#This Row],[VEHIDCODE]],PROPERTIES[VEHIDCODE],PROPERTIES[IS_CONCEPT])="IS_CONCEPT"</f>
        <v>1</v>
      </c>
      <c r="R821" s="8" t="b">
        <f>_xlfn.XLOOKUP(CONTROL[[#This Row],[VEHIDCODE]],PROPERTIES[VEHIDCODE],PROPERTIES[EXCLUDE])</f>
        <v>0</v>
      </c>
    </row>
    <row r="822" spans="1:18">
      <c r="A822" t="s">
        <v>3368</v>
      </c>
      <c r="B822" s="26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7" t="s">
        <v>1798</v>
      </c>
      <c r="G822" t="s">
        <v>1797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6" t="str">
        <f>"item_"&amp;CONTROL[[#This Row],[VEHIDCODE]]</f>
        <v>item_emu_Comeng_EMU</v>
      </c>
      <c r="P822" s="26" t="str">
        <f>"str_"&amp;CONTROL[[#This Row],[VEHIDCODE]]</f>
        <v>str_emu_Comeng_EMU</v>
      </c>
      <c r="Q822" s="8" t="b">
        <f>_xlfn.XLOOKUP(CONTROL[[#This Row],[VEHIDCODE]],PROPERTIES[VEHIDCODE],PROPERTIES[IS_CONCEPT])="IS_CONCEPT"</f>
        <v>0</v>
      </c>
      <c r="R822" s="8" t="b">
        <f>_xlfn.XLOOKUP(CONTROL[[#This Row],[VEHIDCODE]],PROPERTIES[VEHIDCODE],PROPERTIES[EXCLUDE])</f>
        <v>0</v>
      </c>
    </row>
    <row r="823" spans="1:18">
      <c r="A823" t="s">
        <v>3369</v>
      </c>
      <c r="B823" s="26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7" t="s">
        <v>2528</v>
      </c>
      <c r="G823" t="s">
        <v>1799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6" t="str">
        <f>"item_"&amp;CONTROL[[#This Row],[VEHIDCODE]]</f>
        <v>item_emu_Evolution_Rail_HCMT_Munnel</v>
      </c>
      <c r="P823" s="26" t="str">
        <f>"str_"&amp;CONTROL[[#This Row],[VEHIDCODE]]</f>
        <v>str_emu_Evolution_Rail_HCMT_Munnel</v>
      </c>
      <c r="Q823" s="8" t="b">
        <f>_xlfn.XLOOKUP(CONTROL[[#This Row],[VEHIDCODE]],PROPERTIES[VEHIDCODE],PROPERTIES[IS_CONCEPT])="IS_CONCEPT"</f>
        <v>0</v>
      </c>
      <c r="R823" s="8" t="b">
        <f>_xlfn.XLOOKUP(CONTROL[[#This Row],[VEHIDCODE]],PROPERTIES[VEHIDCODE],PROPERTIES[EXCLUDE])</f>
        <v>0</v>
      </c>
    </row>
    <row r="824" spans="1:18">
      <c r="A824" t="s">
        <v>3370</v>
      </c>
      <c r="B824" s="26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7" t="s">
        <v>2529</v>
      </c>
      <c r="G824" t="s">
        <v>1800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6" t="str">
        <f>"item_"&amp;CONTROL[[#This Row],[VEHIDCODE]]</f>
        <v>item_diesel_LTZ_DR_130</v>
      </c>
      <c r="P824" s="26" t="str">
        <f>"str_"&amp;CONTROL[[#This Row],[VEHIDCODE]]</f>
        <v>str_diesel_LTZ_DR_130</v>
      </c>
      <c r="Q824" s="8" t="b">
        <f>_xlfn.XLOOKUP(CONTROL[[#This Row],[VEHIDCODE]],PROPERTIES[VEHIDCODE],PROPERTIES[IS_CONCEPT])="IS_CONCEPT"</f>
        <v>0</v>
      </c>
      <c r="R824" s="8" t="b">
        <f>_xlfn.XLOOKUP(CONTROL[[#This Row],[VEHIDCODE]],PROPERTIES[VEHIDCODE],PROPERTIES[EXCLUDE])</f>
        <v>1</v>
      </c>
    </row>
    <row r="825" spans="1:18">
      <c r="A825" t="s">
        <v>3371</v>
      </c>
      <c r="B825" s="26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7" t="s">
        <v>2041</v>
      </c>
      <c r="G825" t="s">
        <v>1801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6" t="str">
        <f>"item_"&amp;CONTROL[[#This Row],[VEHIDCODE]]</f>
        <v>item_diesel_GE_AC6044CW</v>
      </c>
      <c r="P825" s="26" t="str">
        <f>"str_"&amp;CONTROL[[#This Row],[VEHIDCODE]]</f>
        <v>str_diesel_GE_AC6044CW</v>
      </c>
      <c r="Q825" s="8" t="b">
        <f>_xlfn.XLOOKUP(CONTROL[[#This Row],[VEHIDCODE]],PROPERTIES[VEHIDCODE],PROPERTIES[IS_CONCEPT])="IS_CONCEPT"</f>
        <v>0</v>
      </c>
      <c r="R825" s="8" t="b">
        <f>_xlfn.XLOOKUP(CONTROL[[#This Row],[VEHIDCODE]],PROPERTIES[VEHIDCODE],PROPERTIES[EXCLUDE])</f>
        <v>1</v>
      </c>
    </row>
    <row r="826" spans="1:18">
      <c r="A826" t="s">
        <v>3695</v>
      </c>
      <c r="B826" s="26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7" t="s">
        <v>3606</v>
      </c>
      <c r="G826" t="s">
        <v>1801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6" t="str">
        <f>"item_"&amp;CONTROL[[#This Row],[VEHIDCODE]]</f>
        <v>item_diesel_GE_AC6000CW</v>
      </c>
      <c r="P826" s="26" t="str">
        <f>"str_"&amp;CONTROL[[#This Row],[VEHIDCODE]]</f>
        <v>str_diesel_GE_AC6000CW</v>
      </c>
      <c r="Q826" s="8" t="b">
        <f>_xlfn.XLOOKUP(CONTROL[[#This Row],[VEHIDCODE]],PROPERTIES[VEHIDCODE],PROPERTIES[IS_CONCEPT])="IS_CONCEPT"</f>
        <v>0</v>
      </c>
      <c r="R826" s="8" t="b">
        <f>_xlfn.XLOOKUP(CONTROL[[#This Row],[VEHIDCODE]],PROPERTIES[VEHIDCODE],PROPERTIES[EXCLUDE])</f>
        <v>0</v>
      </c>
    </row>
    <row r="827" spans="1:18">
      <c r="A827" t="s">
        <v>3372</v>
      </c>
      <c r="B827" s="26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7" t="s">
        <v>2531</v>
      </c>
      <c r="G827" t="s">
        <v>2530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6" t="str">
        <f>"item_"&amp;CONTROL[[#This Row],[VEHIDCODE]]</f>
        <v>item_steam_Robert_Stephenson_and_Co_2_2_2_192</v>
      </c>
      <c r="P827" s="26" t="str">
        <f>"str_"&amp;CONTROL[[#This Row],[VEHIDCODE]]</f>
        <v>str_steam_Robert_Stephenson_and_Co_2_2_2_192</v>
      </c>
      <c r="Q827" s="8" t="b">
        <f>_xlfn.XLOOKUP(CONTROL[[#This Row],[VEHIDCODE]],PROPERTIES[VEHIDCODE],PROPERTIES[IS_CONCEPT])="IS_CONCEPT"</f>
        <v>0</v>
      </c>
      <c r="R827" s="8" t="b">
        <f>_xlfn.XLOOKUP(CONTROL[[#This Row],[VEHIDCODE]],PROPERTIES[VEHIDCODE],PROPERTIES[EXCLUDE])</f>
        <v>0</v>
      </c>
    </row>
    <row r="828" spans="1:18">
      <c r="A828" t="s">
        <v>3373</v>
      </c>
      <c r="B828" s="26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7" t="s">
        <v>2532</v>
      </c>
      <c r="G828" t="s">
        <v>1802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6" t="str">
        <f>"item_"&amp;CONTROL[[#This Row],[VEHIDCODE]]</f>
        <v>item_emu_Comeng_MK_Hitachi_Trains</v>
      </c>
      <c r="P828" s="26" t="str">
        <f>"str_"&amp;CONTROL[[#This Row],[VEHIDCODE]]</f>
        <v>str_emu_Comeng_MK_Hitachi_Trains</v>
      </c>
      <c r="Q828" s="8" t="b">
        <f>_xlfn.XLOOKUP(CONTROL[[#This Row],[VEHIDCODE]],PROPERTIES[VEHIDCODE],PROPERTIES[IS_CONCEPT])="IS_CONCEPT"</f>
        <v>0</v>
      </c>
      <c r="R828" s="8" t="b">
        <f>_xlfn.XLOOKUP(CONTROL[[#This Row],[VEHIDCODE]],PROPERTIES[VEHIDCODE],PROPERTIES[EXCLUDE])</f>
        <v>0</v>
      </c>
    </row>
    <row r="829" spans="1:18">
      <c r="A829" t="s">
        <v>3374</v>
      </c>
      <c r="B829" s="26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7" t="s">
        <v>2533</v>
      </c>
      <c r="G829" t="s">
        <v>1803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6" t="str">
        <f>"item_"&amp;CONTROL[[#This Row],[VEHIDCODE]]</f>
        <v>item_emu_GRC_W_Harris_Trains</v>
      </c>
      <c r="P829" s="26" t="str">
        <f>"str_"&amp;CONTROL[[#This Row],[VEHIDCODE]]</f>
        <v>str_emu_GRC_W_Harris_Trains</v>
      </c>
      <c r="Q829" s="8" t="b">
        <f>_xlfn.XLOOKUP(CONTROL[[#This Row],[VEHIDCODE]],PROPERTIES[VEHIDCODE],PROPERTIES[IS_CONCEPT])="IS_CONCEPT"</f>
        <v>0</v>
      </c>
      <c r="R829" s="8" t="b">
        <f>_xlfn.XLOOKUP(CONTROL[[#This Row],[VEHIDCODE]],PROPERTIES[VEHIDCODE],PROPERTIES[EXCLUDE])</f>
        <v>0</v>
      </c>
    </row>
    <row r="830" spans="1:18">
      <c r="A830" t="s">
        <v>3375</v>
      </c>
      <c r="B830" s="26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7" t="s">
        <v>2534</v>
      </c>
      <c r="G830" t="s">
        <v>1804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6" t="str">
        <f>"item_"&amp;CONTROL[[#This Row],[VEHIDCODE]]</f>
        <v>item_emu_Siemens_Nexas</v>
      </c>
      <c r="P830" s="26" t="str">
        <f>"str_"&amp;CONTROL[[#This Row],[VEHIDCODE]]</f>
        <v>str_emu_Siemens_Nexas</v>
      </c>
      <c r="Q830" s="8" t="b">
        <f>_xlfn.XLOOKUP(CONTROL[[#This Row],[VEHIDCODE]],PROPERTIES[VEHIDCODE],PROPERTIES[IS_CONCEPT])="IS_CONCEPT"</f>
        <v>0</v>
      </c>
      <c r="R830" s="8" t="b">
        <f>_xlfn.XLOOKUP(CONTROL[[#This Row],[VEHIDCODE]],PROPERTIES[VEHIDCODE],PROPERTIES[EXCLUDE])</f>
        <v>0</v>
      </c>
    </row>
    <row r="831" spans="1:18">
      <c r="A831" t="s">
        <v>3376</v>
      </c>
      <c r="B831" s="26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7" t="s">
        <v>2535</v>
      </c>
      <c r="G831" t="s">
        <v>1805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6" t="str">
        <f>"item_"&amp;CONTROL[[#This Row],[VEHIDCODE]]</f>
        <v>item_emu_Victorian_Railways_Tait_Trains</v>
      </c>
      <c r="P831" s="26" t="str">
        <f>"str_"&amp;CONTROL[[#This Row],[VEHIDCODE]]</f>
        <v>str_emu_Victorian_Railways_Tait_Trains</v>
      </c>
      <c r="Q831" s="8" t="b">
        <f>_xlfn.XLOOKUP(CONTROL[[#This Row],[VEHIDCODE]],PROPERTIES[VEHIDCODE],PROPERTIES[IS_CONCEPT])="IS_CONCEPT"</f>
        <v>0</v>
      </c>
      <c r="R831" s="8" t="b">
        <f>_xlfn.XLOOKUP(CONTROL[[#This Row],[VEHIDCODE]],PROPERTIES[VEHIDCODE],PROPERTIES[EXCLUDE])</f>
        <v>0</v>
      </c>
    </row>
    <row r="832" spans="1:18">
      <c r="A832" t="s">
        <v>3377</v>
      </c>
      <c r="B832" s="26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7" t="s">
        <v>2536</v>
      </c>
      <c r="G832" t="s">
        <v>1806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6" t="str">
        <f>"item_"&amp;CONTROL[[#This Row],[VEHIDCODE]]</f>
        <v>item_mtro_ABB_Henschel_Berlin_BVG_F74</v>
      </c>
      <c r="P832" s="26" t="str">
        <f>"str_"&amp;CONTROL[[#This Row],[VEHIDCODE]]</f>
        <v>str_mtro_ABB_Henschel_Berlin_BVG_F74</v>
      </c>
      <c r="Q832" s="8" t="b">
        <f>_xlfn.XLOOKUP(CONTROL[[#This Row],[VEHIDCODE]],PROPERTIES[VEHIDCODE],PROPERTIES[IS_CONCEPT])="IS_CONCEPT"</f>
        <v>0</v>
      </c>
      <c r="R832" s="8" t="b">
        <f>_xlfn.XLOOKUP(CONTROL[[#This Row],[VEHIDCODE]],PROPERTIES[VEHIDCODE],PROPERTIES[EXCLUDE])</f>
        <v>0</v>
      </c>
    </row>
    <row r="833" spans="1:18">
      <c r="A833" t="s">
        <v>3378</v>
      </c>
      <c r="B833" s="26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7" t="s">
        <v>2537</v>
      </c>
      <c r="G833" t="s">
        <v>1807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6" t="str">
        <f>"item_"&amp;CONTROL[[#This Row],[VEHIDCODE]]</f>
        <v>item_mtro_Adtranz_Berlin_BVG_H</v>
      </c>
      <c r="P833" s="26" t="str">
        <f>"str_"&amp;CONTROL[[#This Row],[VEHIDCODE]]</f>
        <v>str_mtro_Adtranz_Berlin_BVG_H</v>
      </c>
      <c r="Q833" s="8" t="b">
        <f>_xlfn.XLOOKUP(CONTROL[[#This Row],[VEHIDCODE]],PROPERTIES[VEHIDCODE],PROPERTIES[IS_CONCEPT])="IS_CONCEPT"</f>
        <v>0</v>
      </c>
      <c r="R833" s="8" t="b">
        <f>_xlfn.XLOOKUP(CONTROL[[#This Row],[VEHIDCODE]],PROPERTIES[VEHIDCODE],PROPERTIES[EXCLUDE])</f>
        <v>0</v>
      </c>
    </row>
    <row r="834" spans="1:18">
      <c r="A834" t="s">
        <v>3379</v>
      </c>
      <c r="B834" s="26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7" t="s">
        <v>2538</v>
      </c>
      <c r="G834" t="s">
        <v>1808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6" t="str">
        <f>"item_"&amp;CONTROL[[#This Row],[VEHIDCODE]]</f>
        <v>item_steam_LB_SCR_BRW_0_6_0T_A1</v>
      </c>
      <c r="P834" s="26" t="str">
        <f>"str_"&amp;CONTROL[[#This Row],[VEHIDCODE]]</f>
        <v>str_steam_LB_SCR_BRW_0_6_0T_A1</v>
      </c>
      <c r="Q834" s="8" t="b">
        <f>_xlfn.XLOOKUP(CONTROL[[#This Row],[VEHIDCODE]],PROPERTIES[VEHIDCODE],PROPERTIES[IS_CONCEPT])="IS_CONCEPT"</f>
        <v>0</v>
      </c>
      <c r="R834" s="8" t="b">
        <f>_xlfn.XLOOKUP(CONTROL[[#This Row],[VEHIDCODE]],PROPERTIES[VEHIDCODE],PROPERTIES[EXCLUDE])</f>
        <v>0</v>
      </c>
    </row>
    <row r="835" spans="1:18">
      <c r="A835" t="s">
        <v>3380</v>
      </c>
      <c r="B835" s="26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7" t="s">
        <v>2539</v>
      </c>
      <c r="G835" t="s">
        <v>1809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6" t="str">
        <f>"item_"&amp;CONTROL[[#This Row],[VEHIDCODE]]</f>
        <v>item_steam_BP_4_6_4T_4444_4478_C30</v>
      </c>
      <c r="P835" s="26" t="str">
        <f>"str_"&amp;CONTROL[[#This Row],[VEHIDCODE]]</f>
        <v>str_steam_BP_4_6_4T_4444_4478_C30</v>
      </c>
      <c r="Q835" s="8" t="b">
        <f>_xlfn.XLOOKUP(CONTROL[[#This Row],[VEHIDCODE]],PROPERTIES[VEHIDCODE],PROPERTIES[IS_CONCEPT])="IS_CONCEPT"</f>
        <v>0</v>
      </c>
      <c r="R835" s="8" t="b">
        <f>_xlfn.XLOOKUP(CONTROL[[#This Row],[VEHIDCODE]],PROPERTIES[VEHIDCODE],PROPERTIES[EXCLUDE])</f>
        <v>0</v>
      </c>
    </row>
    <row r="836" spans="1:18">
      <c r="A836" s="2" t="s">
        <v>3381</v>
      </c>
      <c r="B836" s="26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7" t="s">
        <v>2540</v>
      </c>
      <c r="G836" t="s">
        <v>1810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6" t="str">
        <f>"item_"&amp;CONTROL[[#This Row],[VEHIDCODE]]</f>
        <v>item_steam_BP_Baldwin_Clyde_4_6_0_C32</v>
      </c>
      <c r="P836" s="26" t="str">
        <f>"str_"&amp;CONTROL[[#This Row],[VEHIDCODE]]</f>
        <v>str_steam_BP_Baldwin_Clyde_4_6_0_C32</v>
      </c>
      <c r="Q836" s="8" t="b">
        <f>_xlfn.XLOOKUP(CONTROL[[#This Row],[VEHIDCODE]],PROPERTIES[VEHIDCODE],PROPERTIES[IS_CONCEPT])="IS_CONCEPT"</f>
        <v>0</v>
      </c>
      <c r="R836" s="8" t="b">
        <f>_xlfn.XLOOKUP(CONTROL[[#This Row],[VEHIDCODE]],PROPERTIES[VEHIDCODE],PROPERTIES[EXCLUDE])</f>
        <v>0</v>
      </c>
    </row>
    <row r="837" spans="1:18">
      <c r="A837" s="2" t="s">
        <v>3382</v>
      </c>
      <c r="B837" s="26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7" t="s">
        <v>2541</v>
      </c>
      <c r="G837" t="s">
        <v>1811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6" t="str">
        <f>"item_"&amp;CONTROL[[#This Row],[VEHIDCODE]]</f>
        <v>item_steam_BP_NBLC_2_8_0_D50</v>
      </c>
      <c r="P837" s="26" t="str">
        <f>"str_"&amp;CONTROL[[#This Row],[VEHIDCODE]]</f>
        <v>str_steam_BP_NBLC_2_8_0_D50</v>
      </c>
      <c r="Q837" s="8" t="b">
        <f>_xlfn.XLOOKUP(CONTROL[[#This Row],[VEHIDCODE]],PROPERTIES[VEHIDCODE],PROPERTIES[IS_CONCEPT])="IS_CONCEPT"</f>
        <v>0</v>
      </c>
      <c r="R837" s="8" t="b">
        <f>_xlfn.XLOOKUP(CONTROL[[#This Row],[VEHIDCODE]],PROPERTIES[VEHIDCODE],PROPERTIES[EXCLUDE])</f>
        <v>0</v>
      </c>
    </row>
    <row r="838" spans="1:18">
      <c r="A838" s="2" t="s">
        <v>3383</v>
      </c>
      <c r="B838" s="26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7" t="s">
        <v>2542</v>
      </c>
      <c r="G838" s="39" t="s">
        <v>1812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6" t="str">
        <f>"item_"&amp;CONTROL[[#This Row],[VEHIDCODE]]</f>
        <v>item_steam_BP_Dubs_4_4_0_Z12</v>
      </c>
      <c r="P838" s="26" t="str">
        <f>"str_"&amp;CONTROL[[#This Row],[VEHIDCODE]]</f>
        <v>str_steam_BP_Dubs_4_4_0_Z12</v>
      </c>
      <c r="Q838" s="8" t="b">
        <f>_xlfn.XLOOKUP(CONTROL[[#This Row],[VEHIDCODE]],PROPERTIES[VEHIDCODE],PROPERTIES[IS_CONCEPT])="IS_CONCEPT"</f>
        <v>0</v>
      </c>
      <c r="R838" s="8" t="b">
        <f>_xlfn.XLOOKUP(CONTROL[[#This Row],[VEHIDCODE]],PROPERTIES[VEHIDCODE],PROPERTIES[EXCLUDE])</f>
        <v>0</v>
      </c>
    </row>
    <row r="839" spans="1:18">
      <c r="A839" s="2" t="s">
        <v>3384</v>
      </c>
      <c r="B839" s="26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7" t="s">
        <v>2543</v>
      </c>
      <c r="G839" s="39" t="s">
        <v>1813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6" t="str">
        <f>"item_"&amp;CONTROL[[#This Row],[VEHIDCODE]]</f>
        <v>item_steam_BP_0_6_0_Z19</v>
      </c>
      <c r="P839" s="26" t="str">
        <f>"str_"&amp;CONTROL[[#This Row],[VEHIDCODE]]</f>
        <v>str_steam_BP_0_6_0_Z19</v>
      </c>
      <c r="Q839" s="8" t="b">
        <f>_xlfn.XLOOKUP(CONTROL[[#This Row],[VEHIDCODE]],PROPERTIES[VEHIDCODE],PROPERTIES[IS_CONCEPT])="IS_CONCEPT"</f>
        <v>0</v>
      </c>
      <c r="R839" s="8" t="b">
        <f>_xlfn.XLOOKUP(CONTROL[[#This Row],[VEHIDCODE]],PROPERTIES[VEHIDCODE],PROPERTIES[EXCLUDE])</f>
        <v>0</v>
      </c>
    </row>
    <row r="840" spans="1:18">
      <c r="A840" s="2" t="s">
        <v>3385</v>
      </c>
      <c r="B840" s="26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7" t="s">
        <v>2544</v>
      </c>
      <c r="G840" s="39" t="s">
        <v>1814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6" t="str">
        <f>"item_"&amp;CONTROL[[#This Row],[VEHIDCODE]]</f>
        <v>item_steam_Dubs_2_6_2ST_Z26</v>
      </c>
      <c r="P840" s="26" t="str">
        <f>"str_"&amp;CONTROL[[#This Row],[VEHIDCODE]]</f>
        <v>str_steam_Dubs_2_6_2ST_Z26</v>
      </c>
      <c r="Q840" s="8" t="b">
        <f>_xlfn.XLOOKUP(CONTROL[[#This Row],[VEHIDCODE]],PROPERTIES[VEHIDCODE],PROPERTIES[IS_CONCEPT])="IS_CONCEPT"</f>
        <v>0</v>
      </c>
      <c r="R840" s="8" t="b">
        <f>_xlfn.XLOOKUP(CONTROL[[#This Row],[VEHIDCODE]],PROPERTIES[VEHIDCODE],PROPERTIES[EXCLUDE])</f>
        <v>0</v>
      </c>
    </row>
    <row r="841" spans="1:18">
      <c r="A841" s="2" t="s">
        <v>3386</v>
      </c>
      <c r="B841" s="26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7" t="s">
        <v>2545</v>
      </c>
      <c r="G841" s="39" t="s">
        <v>1815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6" t="str">
        <f>"item_"&amp;CONTROL[[#This Row],[VEHIDCODE]]</f>
        <v>item_steam_GCR_Kitson_NBLC_ROD_2_8_0_8K</v>
      </c>
      <c r="P841" s="26" t="str">
        <f>"str_"&amp;CONTROL[[#This Row],[VEHIDCODE]]</f>
        <v>str_steam_GCR_Kitson_NBLC_ROD_2_8_0_8K</v>
      </c>
      <c r="Q841" s="8" t="b">
        <f>_xlfn.XLOOKUP(CONTROL[[#This Row],[VEHIDCODE]],PROPERTIES[VEHIDCODE],PROPERTIES[IS_CONCEPT])="IS_CONCEPT"</f>
        <v>0</v>
      </c>
      <c r="R841" s="8" t="b">
        <f>_xlfn.XLOOKUP(CONTROL[[#This Row],[VEHIDCODE]],PROPERTIES[VEHIDCODE],PROPERTIES[EXCLUDE])</f>
        <v>0</v>
      </c>
    </row>
    <row r="842" spans="1:18">
      <c r="A842" s="2" t="s">
        <v>3387</v>
      </c>
      <c r="B842" s="26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7" t="s">
        <v>2546</v>
      </c>
      <c r="G842" s="39" t="s">
        <v>1816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6" t="str">
        <f>"item_"&amp;CONTROL[[#This Row],[VEHIDCODE]]</f>
        <v>item_steam_ALCO_4_6_2_SAR_600</v>
      </c>
      <c r="P842" s="26" t="str">
        <f>"str_"&amp;CONTROL[[#This Row],[VEHIDCODE]]</f>
        <v>str_steam_ALCO_4_6_2_SAR_600</v>
      </c>
      <c r="Q842" s="8" t="b">
        <f>_xlfn.XLOOKUP(CONTROL[[#This Row],[VEHIDCODE]],PROPERTIES[VEHIDCODE],PROPERTIES[IS_CONCEPT])="IS_CONCEPT"</f>
        <v>0</v>
      </c>
      <c r="R842" s="8" t="b">
        <f>_xlfn.XLOOKUP(CONTROL[[#This Row],[VEHIDCODE]],PROPERTIES[VEHIDCODE],PROPERTIES[EXCLUDE])</f>
        <v>0</v>
      </c>
    </row>
    <row r="843" spans="1:18">
      <c r="A843" t="s">
        <v>3388</v>
      </c>
      <c r="B843" s="26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7" t="s">
        <v>2547</v>
      </c>
      <c r="G843" t="s">
        <v>1817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6" t="str">
        <f>"item_"&amp;CONTROL[[#This Row],[VEHIDCODE]]</f>
        <v>item_steam_BP_2_8_2T_South_Maitland_10</v>
      </c>
      <c r="P843" s="26" t="str">
        <f>"str_"&amp;CONTROL[[#This Row],[VEHIDCODE]]</f>
        <v>str_steam_BP_2_8_2T_South_Maitland_10</v>
      </c>
      <c r="Q843" s="8" t="b">
        <f>_xlfn.XLOOKUP(CONTROL[[#This Row],[VEHIDCODE]],PROPERTIES[VEHIDCODE],PROPERTIES[IS_CONCEPT])="IS_CONCEPT"</f>
        <v>0</v>
      </c>
      <c r="R843" s="8" t="b">
        <f>_xlfn.XLOOKUP(CONTROL[[#This Row],[VEHIDCODE]],PROPERTIES[VEHIDCODE],PROPERTIES[EXCLUDE])</f>
        <v>0</v>
      </c>
    </row>
    <row r="844" spans="1:18">
      <c r="A844" t="s">
        <v>3389</v>
      </c>
      <c r="B844" s="26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7" t="s">
        <v>1818</v>
      </c>
      <c r="G844" t="s">
        <v>1819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6" t="str">
        <f>"item_"&amp;CONTROL[[#This Row],[VEHIDCODE]]</f>
        <v>item_steam_Victorian_Railways_H</v>
      </c>
      <c r="P844" s="26" t="str">
        <f>"str_"&amp;CONTROL[[#This Row],[VEHIDCODE]]</f>
        <v>str_steam_Victorian_Railways_H</v>
      </c>
      <c r="Q844" s="8" t="b">
        <f>_xlfn.XLOOKUP(CONTROL[[#This Row],[VEHIDCODE]],PROPERTIES[VEHIDCODE],PROPERTIES[IS_CONCEPT])="IS_CONCEPT"</f>
        <v>0</v>
      </c>
      <c r="R844" s="8" t="b">
        <f>_xlfn.XLOOKUP(CONTROL[[#This Row],[VEHIDCODE]],PROPERTIES[VEHIDCODE],PROPERTIES[EXCLUDE])</f>
        <v>0</v>
      </c>
    </row>
    <row r="845" spans="1:18">
      <c r="A845" t="s">
        <v>3390</v>
      </c>
      <c r="B845" s="26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7" t="s">
        <v>2548</v>
      </c>
      <c r="G845" t="s">
        <v>1820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6" t="str">
        <f>"item_"&amp;CONTROL[[#This Row],[VEHIDCODE]]</f>
        <v>item_diesel_BTH_41_Class</v>
      </c>
      <c r="P845" s="26" t="str">
        <f>"str_"&amp;CONTROL[[#This Row],[VEHIDCODE]]</f>
        <v>str_diesel_BTH_41_Class</v>
      </c>
      <c r="Q845" s="8" t="b">
        <f>_xlfn.XLOOKUP(CONTROL[[#This Row],[VEHIDCODE]],PROPERTIES[VEHIDCODE],PROPERTIES[IS_CONCEPT])="IS_CONCEPT"</f>
        <v>0</v>
      </c>
      <c r="R845" s="8" t="b">
        <f>_xlfn.XLOOKUP(CONTROL[[#This Row],[VEHIDCODE]],PROPERTIES[VEHIDCODE],PROPERTIES[EXCLUDE])</f>
        <v>0</v>
      </c>
    </row>
    <row r="846" spans="1:18">
      <c r="A846" t="s">
        <v>3391</v>
      </c>
      <c r="B846" s="26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7" t="s">
        <v>2549</v>
      </c>
      <c r="G846" t="s">
        <v>1821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6" t="str">
        <f>"item_"&amp;CONTROL[[#This Row],[VEHIDCODE]]</f>
        <v>item_diesel_ALCO_AE_Goodwin_DL531_532</v>
      </c>
      <c r="P846" s="26" t="str">
        <f>"str_"&amp;CONTROL[[#This Row],[VEHIDCODE]]</f>
        <v>str_diesel_ALCO_AE_Goodwin_DL531_532</v>
      </c>
      <c r="Q846" s="8" t="b">
        <f>_xlfn.XLOOKUP(CONTROL[[#This Row],[VEHIDCODE]],PROPERTIES[VEHIDCODE],PROPERTIES[IS_CONCEPT])="IS_CONCEPT"</f>
        <v>0</v>
      </c>
      <c r="R846" s="8" t="b">
        <f>_xlfn.XLOOKUP(CONTROL[[#This Row],[VEHIDCODE]],PROPERTIES[VEHIDCODE],PROPERTIES[EXCLUDE])</f>
        <v>0</v>
      </c>
    </row>
    <row r="847" spans="1:18">
      <c r="A847" s="2" t="s">
        <v>3392</v>
      </c>
      <c r="B847" s="26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7" t="s">
        <v>2550</v>
      </c>
      <c r="G847" t="s">
        <v>2004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6" t="str">
        <f>"item_"&amp;CONTROL[[#This Row],[VEHIDCODE]]</f>
        <v>item_diesel_ALCO_AE_Goodwin_DL500</v>
      </c>
      <c r="P847" s="26" t="str">
        <f>"str_"&amp;CONTROL[[#This Row],[VEHIDCODE]]</f>
        <v>str_diesel_ALCO_AE_Goodwin_DL500</v>
      </c>
      <c r="Q847" s="8" t="b">
        <f>_xlfn.XLOOKUP(CONTROL[[#This Row],[VEHIDCODE]],PROPERTIES[VEHIDCODE],PROPERTIES[IS_CONCEPT])="IS_CONCEPT"</f>
        <v>0</v>
      </c>
      <c r="R847" s="8" t="b">
        <f>_xlfn.XLOOKUP(CONTROL[[#This Row],[VEHIDCODE]],PROPERTIES[VEHIDCODE],PROPERTIES[EXCLUDE])</f>
        <v>0</v>
      </c>
    </row>
    <row r="848" spans="1:18">
      <c r="A848" t="s">
        <v>3393</v>
      </c>
      <c r="B848" s="26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7" t="s">
        <v>2551</v>
      </c>
      <c r="G848" t="s">
        <v>1822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6" t="str">
        <f>"item_"&amp;CONTROL[[#This Row],[VEHIDCODE]]</f>
        <v>item_diesel_EMD_Clyde_A16C</v>
      </c>
      <c r="P848" s="26" t="str">
        <f>"str_"&amp;CONTROL[[#This Row],[VEHIDCODE]]</f>
        <v>str_diesel_EMD_Clyde_A16C</v>
      </c>
      <c r="Q848" s="8" t="b">
        <f>_xlfn.XLOOKUP(CONTROL[[#This Row],[VEHIDCODE]],PROPERTIES[VEHIDCODE],PROPERTIES[IS_CONCEPT])="IS_CONCEPT"</f>
        <v>0</v>
      </c>
      <c r="R848" s="8" t="b">
        <f>_xlfn.XLOOKUP(CONTROL[[#This Row],[VEHIDCODE]],PROPERTIES[VEHIDCODE],PROPERTIES[EXCLUDE])</f>
        <v>0</v>
      </c>
    </row>
    <row r="849" spans="1:18">
      <c r="A849" t="s">
        <v>3539</v>
      </c>
      <c r="B849" s="26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7" t="s">
        <v>3546</v>
      </c>
      <c r="G849" t="s">
        <v>1823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6" t="str">
        <f>"item_"&amp;CONTROL[[#This Row],[VEHIDCODE]]</f>
        <v>item_diesel_EMD_Clyde_AAT22C_2R</v>
      </c>
      <c r="P849" s="26" t="str">
        <f>"str_"&amp;CONTROL[[#This Row],[VEHIDCODE]]</f>
        <v>str_diesel_EMD_Clyde_AAT22C_2R</v>
      </c>
      <c r="Q849" s="8" t="b">
        <f>_xlfn.XLOOKUP(CONTROL[[#This Row],[VEHIDCODE]],PROPERTIES[VEHIDCODE],PROPERTIES[IS_CONCEPT])="IS_CONCEPT"</f>
        <v>0</v>
      </c>
      <c r="R849" s="8" t="b">
        <f>_xlfn.XLOOKUP(CONTROL[[#This Row],[VEHIDCODE]],PROPERTIES[VEHIDCODE],PROPERTIES[EXCLUDE])</f>
        <v>1</v>
      </c>
    </row>
    <row r="850" spans="1:18">
      <c r="A850" t="s">
        <v>3394</v>
      </c>
      <c r="B850" s="26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7" t="s">
        <v>2552</v>
      </c>
      <c r="G850" t="s">
        <v>1824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6" t="str">
        <f>"item_"&amp;CONTROL[[#This Row],[VEHIDCODE]]</f>
        <v>item_diesel_EMD_Clyde_A7</v>
      </c>
      <c r="P850" s="26" t="str">
        <f>"str_"&amp;CONTROL[[#This Row],[VEHIDCODE]]</f>
        <v>str_diesel_EMD_Clyde_A7</v>
      </c>
      <c r="Q850" s="8" t="b">
        <f>_xlfn.XLOOKUP(CONTROL[[#This Row],[VEHIDCODE]],PROPERTIES[VEHIDCODE],PROPERTIES[IS_CONCEPT])="IS_CONCEPT"</f>
        <v>0</v>
      </c>
      <c r="R850" s="8" t="b">
        <f>_xlfn.XLOOKUP(CONTROL[[#This Row],[VEHIDCODE]],PROPERTIES[VEHIDCODE],PROPERTIES[EXCLUDE])</f>
        <v>0</v>
      </c>
    </row>
    <row r="851" spans="1:18">
      <c r="A851" t="s">
        <v>3395</v>
      </c>
      <c r="B851" s="26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7" t="s">
        <v>2553</v>
      </c>
      <c r="G851" t="s">
        <v>1825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6" t="str">
        <f>"item_"&amp;CONTROL[[#This Row],[VEHIDCODE]]</f>
        <v>item_diesel_EMD_Clyde_AT42C_</v>
      </c>
      <c r="P851" s="26" t="str">
        <f>"str_"&amp;CONTROL[[#This Row],[VEHIDCODE]]</f>
        <v>str_diesel_EMD_Clyde_AT42C_</v>
      </c>
      <c r="Q851" s="8" t="b">
        <f>_xlfn.XLOOKUP(CONTROL[[#This Row],[VEHIDCODE]],PROPERTIES[VEHIDCODE],PROPERTIES[IS_CONCEPT])="IS_CONCEPT"</f>
        <v>0</v>
      </c>
      <c r="R851" s="8" t="b">
        <f>_xlfn.XLOOKUP(CONTROL[[#This Row],[VEHIDCODE]],PROPERTIES[VEHIDCODE],PROPERTIES[EXCLUDE])</f>
        <v>0</v>
      </c>
    </row>
    <row r="852" spans="1:18">
      <c r="A852" t="s">
        <v>3396</v>
      </c>
      <c r="B852" s="26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7" t="s">
        <v>2465</v>
      </c>
      <c r="G852" t="s">
        <v>1826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6" t="str">
        <f>"item_"&amp;CONTROL[[#This Row],[VEHIDCODE]]</f>
        <v>item_electric_Clyde_ASEA_CF48</v>
      </c>
      <c r="P852" s="26" t="str">
        <f>"str_"&amp;CONTROL[[#This Row],[VEHIDCODE]]</f>
        <v>str_electric_Clyde_ASEA_CF48</v>
      </c>
      <c r="Q852" s="8" t="b">
        <f>_xlfn.XLOOKUP(CONTROL[[#This Row],[VEHIDCODE]],PROPERTIES[VEHIDCODE],PROPERTIES[IS_CONCEPT])="IS_CONCEPT"</f>
        <v>0</v>
      </c>
      <c r="R852" s="8" t="b">
        <f>_xlfn.XLOOKUP(CONTROL[[#This Row],[VEHIDCODE]],PROPERTIES[VEHIDCODE],PROPERTIES[EXCLUDE])</f>
        <v>0</v>
      </c>
    </row>
    <row r="853" spans="1:18">
      <c r="A853" t="s">
        <v>3397</v>
      </c>
      <c r="B853" s="26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7" t="s">
        <v>2461</v>
      </c>
      <c r="G853" t="s">
        <v>1827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6" t="str">
        <f>"item_"&amp;CONTROL[[#This Row],[VEHIDCODE]]</f>
        <v>item_diesel_EMD_GT46CWM</v>
      </c>
      <c r="P853" s="26" t="str">
        <f>"str_"&amp;CONTROL[[#This Row],[VEHIDCODE]]</f>
        <v>str_diesel_EMD_GT46CWM</v>
      </c>
      <c r="Q853" s="8" t="b">
        <f>_xlfn.XLOOKUP(CONTROL[[#This Row],[VEHIDCODE]],PROPERTIES[VEHIDCODE],PROPERTIES[IS_CONCEPT])="IS_CONCEPT"</f>
        <v>0</v>
      </c>
      <c r="R853" s="8" t="b">
        <f>_xlfn.XLOOKUP(CONTROL[[#This Row],[VEHIDCODE]],PROPERTIES[VEHIDCODE],PROPERTIES[EXCLUDE])</f>
        <v>0</v>
      </c>
    </row>
    <row r="854" spans="1:18">
      <c r="A854" t="s">
        <v>3398</v>
      </c>
      <c r="B854" s="26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7" t="s">
        <v>2555</v>
      </c>
      <c r="G854" t="s">
        <v>561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6" t="str">
        <f>"item_"&amp;CONTROL[[#This Row],[VEHIDCODE]]</f>
        <v>item_diesel_Clyde_EMD_GT46CW_NR_Concept</v>
      </c>
      <c r="P854" s="26" t="str">
        <f>"str_"&amp;CONTROL[[#This Row],[VEHIDCODE]]</f>
        <v>str_diesel_Clyde_EMD_GT46CW_NR_Concept</v>
      </c>
      <c r="Q854" s="8" t="b">
        <f>_xlfn.XLOOKUP(CONTROL[[#This Row],[VEHIDCODE]],PROPERTIES[VEHIDCODE],PROPERTIES[IS_CONCEPT])="IS_CONCEPT"</f>
        <v>1</v>
      </c>
      <c r="R854" s="8" t="b">
        <f>_xlfn.XLOOKUP(CONTROL[[#This Row],[VEHIDCODE]],PROPERTIES[VEHIDCODE],PROPERTIES[EXCLUDE])</f>
        <v>0</v>
      </c>
    </row>
    <row r="855" spans="1:18">
      <c r="A855" t="s">
        <v>3399</v>
      </c>
      <c r="B855" s="26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7" t="s">
        <v>2554</v>
      </c>
      <c r="G855" t="s">
        <v>561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6" t="str">
        <f>"item_"&amp;CONTROL[[#This Row],[VEHIDCODE]]</f>
        <v>item_diesel_Clyde_JE28C_PTC_73_Class_Concept</v>
      </c>
      <c r="P855" s="26" t="str">
        <f>"str_"&amp;CONTROL[[#This Row],[VEHIDCODE]]</f>
        <v>str_diesel_Clyde_JE28C_PTC_73_Class_Concept</v>
      </c>
      <c r="Q855" s="8" t="b">
        <f>_xlfn.XLOOKUP(CONTROL[[#This Row],[VEHIDCODE]],PROPERTIES[VEHIDCODE],PROPERTIES[IS_CONCEPT])="IS_CONCEPT"</f>
        <v>1</v>
      </c>
      <c r="R855" s="8" t="b">
        <f>_xlfn.XLOOKUP(CONTROL[[#This Row],[VEHIDCODE]],PROPERTIES[VEHIDCODE],PROPERTIES[EXCLUDE])</f>
        <v>0</v>
      </c>
    </row>
    <row r="856" spans="1:18">
      <c r="A856" t="s">
        <v>3400</v>
      </c>
      <c r="B856" s="26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7" t="s">
        <v>2556</v>
      </c>
      <c r="G856" t="s">
        <v>1828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6" t="str">
        <f>"item_"&amp;CONTROL[[#This Row],[VEHIDCODE]]</f>
        <v>item_diesel_EMD_Clyde_JT22HC_2</v>
      </c>
      <c r="P856" s="26" t="str">
        <f>"str_"&amp;CONTROL[[#This Row],[VEHIDCODE]]</f>
        <v>str_diesel_EMD_Clyde_JT22HC_2</v>
      </c>
      <c r="Q856" s="8" t="b">
        <f>_xlfn.XLOOKUP(CONTROL[[#This Row],[VEHIDCODE]],PROPERTIES[VEHIDCODE],PROPERTIES[IS_CONCEPT])="IS_CONCEPT"</f>
        <v>0</v>
      </c>
      <c r="R856" s="8" t="b">
        <f>_xlfn.XLOOKUP(CONTROL[[#This Row],[VEHIDCODE]],PROPERTIES[VEHIDCODE],PROPERTIES[EXCLUDE])</f>
        <v>0</v>
      </c>
    </row>
    <row r="857" spans="1:18">
      <c r="A857" t="s">
        <v>3534</v>
      </c>
      <c r="B857" s="26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7" t="s">
        <v>3547</v>
      </c>
      <c r="G857" s="39" t="s">
        <v>1829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6" t="str">
        <f>"item_"&amp;CONTROL[[#This Row],[VEHIDCODE]]</f>
        <v>item_diesel_EMD_Clyde_JT26C_2SS_NSW_81</v>
      </c>
      <c r="P857" s="26" t="str">
        <f>"str_"&amp;CONTROL[[#This Row],[VEHIDCODE]]</f>
        <v>str_diesel_EMD_Clyde_JT26C_2SS_NSW_81</v>
      </c>
      <c r="Q857" s="8" t="b">
        <f>_xlfn.XLOOKUP(CONTROL[[#This Row],[VEHIDCODE]],PROPERTIES[VEHIDCODE],PROPERTIES[IS_CONCEPT])="IS_CONCEPT"</f>
        <v>0</v>
      </c>
      <c r="R857" s="8" t="b">
        <f>_xlfn.XLOOKUP(CONTROL[[#This Row],[VEHIDCODE]],PROPERTIES[VEHIDCODE],PROPERTIES[EXCLUDE])</f>
        <v>1</v>
      </c>
    </row>
    <row r="858" spans="1:18">
      <c r="A858" t="s">
        <v>3535</v>
      </c>
      <c r="B858" s="26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7" t="s">
        <v>3548</v>
      </c>
      <c r="G858" t="s">
        <v>1326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6" t="str">
        <f>"item_"&amp;CONTROL[[#This Row],[VEHIDCODE]]</f>
        <v>item_diesel_EMD_Clyde_JT26C_2SS_V_line_G</v>
      </c>
      <c r="P858" s="26" t="str">
        <f>"str_"&amp;CONTROL[[#This Row],[VEHIDCODE]]</f>
        <v>str_diesel_EMD_Clyde_JT26C_2SS_V_line_G</v>
      </c>
      <c r="Q858" s="8" t="b">
        <f>_xlfn.XLOOKUP(CONTROL[[#This Row],[VEHIDCODE]],PROPERTIES[VEHIDCODE],PROPERTIES[IS_CONCEPT])="IS_CONCEPT"</f>
        <v>0</v>
      </c>
      <c r="R858" s="8" t="b">
        <f>_xlfn.XLOOKUP(CONTROL[[#This Row],[VEHIDCODE]],PROPERTIES[VEHIDCODE],PROPERTIES[EXCLUDE])</f>
        <v>0</v>
      </c>
    </row>
    <row r="859" spans="1:18">
      <c r="A859" t="s">
        <v>3559</v>
      </c>
      <c r="B859" s="26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7" t="s">
        <v>2557</v>
      </c>
      <c r="G859" s="39" t="s">
        <v>1830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6" t="str">
        <f>"item_"&amp;CONTROL[[#This Row],[VEHIDCODE]]</f>
        <v>item_diesel_EMD_Clyde_JT42C_NSW82</v>
      </c>
      <c r="P859" s="26" t="str">
        <f>"str_"&amp;CONTROL[[#This Row],[VEHIDCODE]]</f>
        <v>str_diesel_EMD_Clyde_JT42C_NSW82</v>
      </c>
      <c r="Q859" s="8" t="b">
        <f>_xlfn.XLOOKUP(CONTROL[[#This Row],[VEHIDCODE]],PROPERTIES[VEHIDCODE],PROPERTIES[IS_CONCEPT])="IS_CONCEPT"</f>
        <v>0</v>
      </c>
      <c r="R859" s="8" t="b">
        <f>_xlfn.XLOOKUP(CONTROL[[#This Row],[VEHIDCODE]],PROPERTIES[VEHIDCODE],PROPERTIES[EXCLUDE])</f>
        <v>0</v>
      </c>
    </row>
    <row r="860" spans="1:18">
      <c r="A860" t="s">
        <v>3540</v>
      </c>
      <c r="B860" s="26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7" t="s">
        <v>3549</v>
      </c>
      <c r="G860" t="s">
        <v>1831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6" t="str">
        <f>"item_"&amp;CONTROL[[#This Row],[VEHIDCODE]]</f>
        <v>item_diesel_EMD_JT42C_90_1277</v>
      </c>
      <c r="P860" s="26" t="str">
        <f>"str_"&amp;CONTROL[[#This Row],[VEHIDCODE]]</f>
        <v>str_diesel_EMD_JT42C_90_1277</v>
      </c>
      <c r="Q860" s="8" t="b">
        <f>_xlfn.XLOOKUP(CONTROL[[#This Row],[VEHIDCODE]],PROPERTIES[VEHIDCODE],PROPERTIES[IS_CONCEPT])="IS_CONCEPT"</f>
        <v>0</v>
      </c>
      <c r="R860" s="8" t="b">
        <f>_xlfn.XLOOKUP(CONTROL[[#This Row],[VEHIDCODE]],PROPERTIES[VEHIDCODE],PROPERTIES[EXCLUDE])</f>
        <v>0</v>
      </c>
    </row>
    <row r="861" spans="1:18">
      <c r="A861" t="s">
        <v>3401</v>
      </c>
      <c r="B861" s="26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7" t="s">
        <v>2557</v>
      </c>
      <c r="G861" t="s">
        <v>1832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6" t="str">
        <f>"item_"&amp;CONTROL[[#This Row],[VEHIDCODE]]</f>
        <v>item_diesel_EMD_Clyde_JT42C</v>
      </c>
      <c r="P861" s="26" t="str">
        <f>"str_"&amp;CONTROL[[#This Row],[VEHIDCODE]]</f>
        <v>str_diesel_EMD_Clyde_JT42C</v>
      </c>
      <c r="Q861" s="8" t="b">
        <f>_xlfn.XLOOKUP(CONTROL[[#This Row],[VEHIDCODE]],PROPERTIES[VEHIDCODE],PROPERTIES[IS_CONCEPT])="IS_CONCEPT"</f>
        <v>0</v>
      </c>
      <c r="R861" s="8" t="b">
        <f>_xlfn.XLOOKUP(CONTROL[[#This Row],[VEHIDCODE]],PROPERTIES[VEHIDCODE],PROPERTIES[EXCLUDE])</f>
        <v>1</v>
      </c>
    </row>
    <row r="862" spans="1:18">
      <c r="A862" t="s">
        <v>3541</v>
      </c>
      <c r="B862" s="26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7" t="s">
        <v>3550</v>
      </c>
      <c r="G862" t="s">
        <v>1833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6" t="str">
        <f>"item_"&amp;CONTROL[[#This Row],[VEHIDCODE]]</f>
        <v>item_diesel_EMD_Clyde_ML2</v>
      </c>
      <c r="P862" s="26" t="str">
        <f>"str_"&amp;CONTROL[[#This Row],[VEHIDCODE]]</f>
        <v>str_diesel_EMD_Clyde_ML2</v>
      </c>
      <c r="Q862" s="8" t="b">
        <f>_xlfn.XLOOKUP(CONTROL[[#This Row],[VEHIDCODE]],PROPERTIES[VEHIDCODE],PROPERTIES[IS_CONCEPT])="IS_CONCEPT"</f>
        <v>0</v>
      </c>
      <c r="R862" s="8" t="b">
        <f>_xlfn.XLOOKUP(CONTROL[[#This Row],[VEHIDCODE]],PROPERTIES[VEHIDCODE],PROPERTIES[EXCLUDE])</f>
        <v>0</v>
      </c>
    </row>
    <row r="863" spans="1:18">
      <c r="A863" t="s">
        <v>3402</v>
      </c>
      <c r="B863" s="26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7" t="s">
        <v>2558</v>
      </c>
      <c r="G863" t="s">
        <v>1834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6" t="str">
        <f>"item_"&amp;CONTROL[[#This Row],[VEHIDCODE]]</f>
        <v>item_diesel_EMD_Clyde_G16C_X1</v>
      </c>
      <c r="P863" s="26" t="str">
        <f>"str_"&amp;CONTROL[[#This Row],[VEHIDCODE]]</f>
        <v>str_diesel_EMD_Clyde_G16C_X1</v>
      </c>
      <c r="Q863" s="8" t="b">
        <f>_xlfn.XLOOKUP(CONTROL[[#This Row],[VEHIDCODE]],PROPERTIES[VEHIDCODE],PROPERTIES[IS_CONCEPT])="IS_CONCEPT"</f>
        <v>0</v>
      </c>
      <c r="R863" s="8" t="b">
        <f>_xlfn.XLOOKUP(CONTROL[[#This Row],[VEHIDCODE]],PROPERTIES[VEHIDCODE],PROPERTIES[EXCLUDE])</f>
        <v>0</v>
      </c>
    </row>
    <row r="864" spans="1:18">
      <c r="A864" t="s">
        <v>3403</v>
      </c>
      <c r="B864" s="26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7" t="s">
        <v>2559</v>
      </c>
      <c r="G864" t="s">
        <v>1834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6" t="str">
        <f>"item_"&amp;CONTROL[[#This Row],[VEHIDCODE]]</f>
        <v>item_diesel_EMD_Clyde_G26C_X2</v>
      </c>
      <c r="P864" s="26" t="str">
        <f>"str_"&amp;CONTROL[[#This Row],[VEHIDCODE]]</f>
        <v>str_diesel_EMD_Clyde_G26C_X2</v>
      </c>
      <c r="Q864" s="8" t="b">
        <f>_xlfn.XLOOKUP(CONTROL[[#This Row],[VEHIDCODE]],PROPERTIES[VEHIDCODE],PROPERTIES[IS_CONCEPT])="IS_CONCEPT"</f>
        <v>0</v>
      </c>
      <c r="R864" s="8" t="b">
        <f>_xlfn.XLOOKUP(CONTROL[[#This Row],[VEHIDCODE]],PROPERTIES[VEHIDCODE],PROPERTIES[EXCLUDE])</f>
        <v>1</v>
      </c>
    </row>
    <row r="865" spans="1:18">
      <c r="A865" t="s">
        <v>3404</v>
      </c>
      <c r="B865" s="26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7" t="s">
        <v>2560</v>
      </c>
      <c r="G865" t="s">
        <v>1834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6" t="str">
        <f>"item_"&amp;CONTROL[[#This Row],[VEHIDCODE]]</f>
        <v>item_diesel_EMD_Clyde_G26C_X3</v>
      </c>
      <c r="P865" s="26" t="str">
        <f>"str_"&amp;CONTROL[[#This Row],[VEHIDCODE]]</f>
        <v>str_diesel_EMD_Clyde_G26C_X3</v>
      </c>
      <c r="Q865" s="8" t="b">
        <f>_xlfn.XLOOKUP(CONTROL[[#This Row],[VEHIDCODE]],PROPERTIES[VEHIDCODE],PROPERTIES[IS_CONCEPT])="IS_CONCEPT"</f>
        <v>0</v>
      </c>
      <c r="R865" s="8" t="b">
        <f>_xlfn.XLOOKUP(CONTROL[[#This Row],[VEHIDCODE]],PROPERTIES[VEHIDCODE],PROPERTIES[EXCLUDE])</f>
        <v>1</v>
      </c>
    </row>
    <row r="866" spans="1:18">
      <c r="A866" t="s">
        <v>3405</v>
      </c>
      <c r="B866" s="26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7" t="s">
        <v>2561</v>
      </c>
      <c r="G866" s="39" t="s">
        <v>1835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6" t="str">
        <f>"item_"&amp;CONTROL[[#This Row],[VEHIDCODE]]</f>
        <v>item_diesel_ALCO_Comeng_CE615A</v>
      </c>
      <c r="P866" s="26" t="str">
        <f>"str_"&amp;CONTROL[[#This Row],[VEHIDCODE]]</f>
        <v>str_diesel_ALCO_Comeng_CE615A</v>
      </c>
      <c r="Q866" s="8" t="b">
        <f>_xlfn.XLOOKUP(CONTROL[[#This Row],[VEHIDCODE]],PROPERTIES[VEHIDCODE],PROPERTIES[IS_CONCEPT])="IS_CONCEPT"</f>
        <v>0</v>
      </c>
      <c r="R866" s="8" t="b">
        <f>_xlfn.XLOOKUP(CONTROL[[#This Row],[VEHIDCODE]],PROPERTIES[VEHIDCODE],PROPERTIES[EXCLUDE])</f>
        <v>0</v>
      </c>
    </row>
    <row r="867" spans="1:18">
      <c r="A867" t="s">
        <v>3406</v>
      </c>
      <c r="B867" s="26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7" t="s">
        <v>2562</v>
      </c>
      <c r="G867" s="39" t="s">
        <v>1836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6" t="str">
        <f>"item_"&amp;CONTROL[[#This Row],[VEHIDCODE]]</f>
        <v>item_electric_Comeng_Class_85</v>
      </c>
      <c r="P867" s="26" t="str">
        <f>"str_"&amp;CONTROL[[#This Row],[VEHIDCODE]]</f>
        <v>str_electric_Comeng_Class_85</v>
      </c>
      <c r="Q867" s="8" t="b">
        <f>_xlfn.XLOOKUP(CONTROL[[#This Row],[VEHIDCODE]],PROPERTIES[VEHIDCODE],PROPERTIES[IS_CONCEPT])="IS_CONCEPT"</f>
        <v>0</v>
      </c>
      <c r="R867" s="8" t="b">
        <f>_xlfn.XLOOKUP(CONTROL[[#This Row],[VEHIDCODE]],PROPERTIES[VEHIDCODE],PROPERTIES[EXCLUDE])</f>
        <v>0</v>
      </c>
    </row>
    <row r="868" spans="1:18">
      <c r="A868" s="2" t="s">
        <v>3407</v>
      </c>
      <c r="B868" s="26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7" t="s">
        <v>2563</v>
      </c>
      <c r="G868" t="s">
        <v>1946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6" t="str">
        <f>"item_"&amp;CONTROL[[#This Row],[VEHIDCODE]]</f>
        <v>item_electric_Comeng_Maldon_Dombarton_8650</v>
      </c>
      <c r="P868" s="26" t="str">
        <f>"str_"&amp;CONTROL[[#This Row],[VEHIDCODE]]</f>
        <v>str_electric_Comeng_Maldon_Dombarton_8650</v>
      </c>
      <c r="Q868" s="8" t="b">
        <f>_xlfn.XLOOKUP(CONTROL[[#This Row],[VEHIDCODE]],PROPERTIES[VEHIDCODE],PROPERTIES[IS_CONCEPT])="IS_CONCEPT"</f>
        <v>1</v>
      </c>
      <c r="R868" s="8" t="b">
        <f>_xlfn.XLOOKUP(CONTROL[[#This Row],[VEHIDCODE]],PROPERTIES[VEHIDCODE],PROPERTIES[EXCLUDE])</f>
        <v>0</v>
      </c>
    </row>
    <row r="869" spans="1:18">
      <c r="A869" t="s">
        <v>3408</v>
      </c>
      <c r="B869" s="26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7" t="s">
        <v>2564</v>
      </c>
      <c r="G869" s="39" t="s">
        <v>1837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6" t="str">
        <f>"item_"&amp;CONTROL[[#This Row],[VEHIDCODE]]</f>
        <v>item_diesel_EMD_NOHAB_J30C_2DSB_MZ_III</v>
      </c>
      <c r="P869" s="26" t="str">
        <f>"str_"&amp;CONTROL[[#This Row],[VEHIDCODE]]</f>
        <v>str_diesel_EMD_NOHAB_J30C_2DSB_MZ_III</v>
      </c>
      <c r="Q869" s="8" t="b">
        <f>_xlfn.XLOOKUP(CONTROL[[#This Row],[VEHIDCODE]],PROPERTIES[VEHIDCODE],PROPERTIES[IS_CONCEPT])="IS_CONCEPT"</f>
        <v>0</v>
      </c>
      <c r="R869" s="8" t="b">
        <f>_xlfn.XLOOKUP(CONTROL[[#This Row],[VEHIDCODE]],PROPERTIES[VEHIDCODE],PROPERTIES[EXCLUDE])</f>
        <v>0</v>
      </c>
    </row>
    <row r="870" spans="1:18">
      <c r="A870" t="s">
        <v>3409</v>
      </c>
      <c r="B870" s="26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7" t="s">
        <v>2566</v>
      </c>
      <c r="G870" t="s">
        <v>2565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6" t="str">
        <f>"item_"&amp;CONTROL[[#This Row],[VEHIDCODE]]</f>
        <v>item_diesel_EMD_Clyde_AT26C_Twin_16_645</v>
      </c>
      <c r="P870" s="26" t="str">
        <f>"str_"&amp;CONTROL[[#This Row],[VEHIDCODE]]</f>
        <v>str_diesel_EMD_Clyde_AT26C_Twin_16_645</v>
      </c>
      <c r="Q870" s="8" t="b">
        <f>_xlfn.XLOOKUP(CONTROL[[#This Row],[VEHIDCODE]],PROPERTIES[VEHIDCODE],PROPERTIES[IS_CONCEPT])="IS_CONCEPT"</f>
        <v>1</v>
      </c>
      <c r="R870" s="8" t="b">
        <f>_xlfn.XLOOKUP(CONTROL[[#This Row],[VEHIDCODE]],PROPERTIES[VEHIDCODE],PROPERTIES[EXCLUDE])</f>
        <v>0</v>
      </c>
    </row>
    <row r="871" spans="1:18">
      <c r="A871" t="s">
        <v>3542</v>
      </c>
      <c r="B871" s="26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7" t="s">
        <v>3551</v>
      </c>
      <c r="G871" t="s">
        <v>1838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6" t="str">
        <f>"item_"&amp;CONTROL[[#This Row],[VEHIDCODE]]</f>
        <v>item_diesel_EMD_Clyde_GL26C_2</v>
      </c>
      <c r="P871" s="26" t="str">
        <f>"str_"&amp;CONTROL[[#This Row],[VEHIDCODE]]</f>
        <v>str_diesel_EMD_Clyde_GL26C_2</v>
      </c>
      <c r="Q871" s="8" t="b">
        <f>_xlfn.XLOOKUP(CONTROL[[#This Row],[VEHIDCODE]],PROPERTIES[VEHIDCODE],PROPERTIES[IS_CONCEPT])="IS_CONCEPT"</f>
        <v>0</v>
      </c>
      <c r="R871" s="8" t="b">
        <f>_xlfn.XLOOKUP(CONTROL[[#This Row],[VEHIDCODE]],PROPERTIES[VEHIDCODE],PROPERTIES[EXCLUDE])</f>
        <v>0</v>
      </c>
    </row>
    <row r="872" spans="1:18">
      <c r="A872" t="s">
        <v>3410</v>
      </c>
      <c r="B872" s="26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7" t="s">
        <v>2694</v>
      </c>
      <c r="G872" t="s">
        <v>1839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6" t="str">
        <f>"item_"&amp;CONTROL[[#This Row],[VEHIDCODE]]</f>
        <v>item_diesel_EEC_A_249_</v>
      </c>
      <c r="P872" s="26" t="str">
        <f>"str_"&amp;CONTROL[[#This Row],[VEHIDCODE]]</f>
        <v>str_diesel_EEC_A_249_</v>
      </c>
      <c r="Q872" s="8" t="b">
        <f>_xlfn.XLOOKUP(CONTROL[[#This Row],[VEHIDCODE]],PROPERTIES[VEHIDCODE],PROPERTIES[IS_CONCEPT])="IS_CONCEPT"</f>
        <v>0</v>
      </c>
      <c r="R872" s="8" t="b">
        <f>_xlfn.XLOOKUP(CONTROL[[#This Row],[VEHIDCODE]],PROPERTIES[VEHIDCODE],PROPERTIES[EXCLUDE])</f>
        <v>0</v>
      </c>
    </row>
    <row r="873" spans="1:18">
      <c r="A873" t="s">
        <v>3411</v>
      </c>
      <c r="B873" s="26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7" t="s">
        <v>2695</v>
      </c>
      <c r="G873" t="s">
        <v>1840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6" t="str">
        <f>"item_"&amp;CONTROL[[#This Row],[VEHIDCODE]]</f>
        <v>item_diesel_EEC_A_253</v>
      </c>
      <c r="P873" s="26" t="str">
        <f>"str_"&amp;CONTROL[[#This Row],[VEHIDCODE]]</f>
        <v>str_diesel_EEC_A_253</v>
      </c>
      <c r="Q873" s="8" t="b">
        <f>_xlfn.XLOOKUP(CONTROL[[#This Row],[VEHIDCODE]],PROPERTIES[VEHIDCODE],PROPERTIES[IS_CONCEPT])="IS_CONCEPT"</f>
        <v>0</v>
      </c>
      <c r="R873" s="8" t="b">
        <f>_xlfn.XLOOKUP(CONTROL[[#This Row],[VEHIDCODE]],PROPERTIES[VEHIDCODE],PROPERTIES[EXCLUDE])</f>
        <v>0</v>
      </c>
    </row>
    <row r="874" spans="1:18">
      <c r="A874" t="s">
        <v>3412</v>
      </c>
      <c r="B874" s="26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7" t="s">
        <v>2720</v>
      </c>
      <c r="G874" t="s">
        <v>1841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6" t="str">
        <f>"item_"&amp;CONTROL[[#This Row],[VEHIDCODE]]</f>
        <v>item_diesel_GE_U26C</v>
      </c>
      <c r="P874" s="26" t="str">
        <f>"str_"&amp;CONTROL[[#This Row],[VEHIDCODE]]</f>
        <v>str_diesel_GE_U26C</v>
      </c>
      <c r="Q874" s="8" t="b">
        <f>_xlfn.XLOOKUP(CONTROL[[#This Row],[VEHIDCODE]],PROPERTIES[VEHIDCODE],PROPERTIES[IS_CONCEPT])="IS_CONCEPT"</f>
        <v>0</v>
      </c>
      <c r="R874" s="8" t="b">
        <f>_xlfn.XLOOKUP(CONTROL[[#This Row],[VEHIDCODE]],PROPERTIES[VEHIDCODE],PROPERTIES[EXCLUDE])</f>
        <v>0</v>
      </c>
    </row>
    <row r="875" spans="1:18">
      <c r="A875" t="s">
        <v>3413</v>
      </c>
      <c r="B875" s="26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7" t="s">
        <v>2696</v>
      </c>
      <c r="G875" s="39" t="s">
        <v>1842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6" t="str">
        <f>"item_"&amp;CONTROL[[#This Row],[VEHIDCODE]]</f>
        <v>item_electric_Metrowick_BP_786</v>
      </c>
      <c r="P875" s="26" t="str">
        <f>"str_"&amp;CONTROL[[#This Row],[VEHIDCODE]]</f>
        <v>str_electric_Metrowick_BP_786</v>
      </c>
      <c r="Q875" s="8" t="b">
        <f>_xlfn.XLOOKUP(CONTROL[[#This Row],[VEHIDCODE]],PROPERTIES[VEHIDCODE],PROPERTIES[IS_CONCEPT])="IS_CONCEPT"</f>
        <v>1</v>
      </c>
      <c r="R875" s="8" t="b">
        <f>_xlfn.XLOOKUP(CONTROL[[#This Row],[VEHIDCODE]],PROPERTIES[VEHIDCODE],PROPERTIES[EXCLUDE])</f>
        <v>0</v>
      </c>
    </row>
    <row r="876" spans="1:18">
      <c r="A876" t="s">
        <v>3414</v>
      </c>
      <c r="B876" s="26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7" t="s">
        <v>2697</v>
      </c>
      <c r="G876" s="39" t="s">
        <v>1843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6" t="str">
        <f>"item_"&amp;CONTROL[[#This Row],[VEHIDCODE]]</f>
        <v>item_diesel_ALCO_RSC_3_77732</v>
      </c>
      <c r="P876" s="26" t="str">
        <f>"str_"&amp;CONTROL[[#This Row],[VEHIDCODE]]</f>
        <v>str_diesel_ALCO_RSC_3_77732</v>
      </c>
      <c r="Q876" s="8" t="b">
        <f>_xlfn.XLOOKUP(CONTROL[[#This Row],[VEHIDCODE]],PROPERTIES[VEHIDCODE],PROPERTIES[IS_CONCEPT])="IS_CONCEPT"</f>
        <v>0</v>
      </c>
      <c r="R876" s="8" t="b">
        <f>_xlfn.XLOOKUP(CONTROL[[#This Row],[VEHIDCODE]],PROPERTIES[VEHIDCODE],PROPERTIES[EXCLUDE])</f>
        <v>1</v>
      </c>
    </row>
    <row r="877" spans="1:18">
      <c r="A877" t="s">
        <v>3415</v>
      </c>
      <c r="B877" s="26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7" t="s">
        <v>2567</v>
      </c>
      <c r="G877" s="39" t="s">
        <v>1844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6" t="str">
        <f>"item_"&amp;CONTROL[[#This Row],[VEHIDCODE]]</f>
        <v>item_diesel_EMD_Clyde_G8C</v>
      </c>
      <c r="P877" s="26" t="str">
        <f>"str_"&amp;CONTROL[[#This Row],[VEHIDCODE]]</f>
        <v>str_diesel_EMD_Clyde_G8C</v>
      </c>
      <c r="Q877" s="8" t="b">
        <f>_xlfn.XLOOKUP(CONTROL[[#This Row],[VEHIDCODE]],PROPERTIES[VEHIDCODE],PROPERTIES[IS_CONCEPT])="IS_CONCEPT"</f>
        <v>0</v>
      </c>
      <c r="R877" s="8" t="b">
        <f>_xlfn.XLOOKUP(CONTROL[[#This Row],[VEHIDCODE]],PROPERTIES[VEHIDCODE],PROPERTIES[EXCLUDE])</f>
        <v>0</v>
      </c>
    </row>
    <row r="878" spans="1:18">
      <c r="A878" s="2" t="s">
        <v>3416</v>
      </c>
      <c r="B878" s="26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7" t="s">
        <v>2568</v>
      </c>
      <c r="G878" t="s">
        <v>1845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6" t="str">
        <f>"item_"&amp;CONTROL[[#This Row],[VEHIDCODE]]</f>
        <v>item_diesel_EMD_Clyde_G12</v>
      </c>
      <c r="P878" s="26" t="str">
        <f>"str_"&amp;CONTROL[[#This Row],[VEHIDCODE]]</f>
        <v>str_diesel_EMD_Clyde_G12</v>
      </c>
      <c r="Q878" s="8" t="b">
        <f>_xlfn.XLOOKUP(CONTROL[[#This Row],[VEHIDCODE]],PROPERTIES[VEHIDCODE],PROPERTIES[IS_CONCEPT])="IS_CONCEPT"</f>
        <v>0</v>
      </c>
      <c r="R878" s="8" t="b">
        <f>_xlfn.XLOOKUP(CONTROL[[#This Row],[VEHIDCODE]],PROPERTIES[VEHIDCODE],PROPERTIES[EXCLUDE])</f>
        <v>1</v>
      </c>
    </row>
    <row r="879" spans="1:18">
      <c r="A879" s="2" t="s">
        <v>3417</v>
      </c>
      <c r="B879" s="26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7" t="s">
        <v>2570</v>
      </c>
      <c r="G879" t="s">
        <v>2569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6" t="str">
        <f>"item_"&amp;CONTROL[[#This Row],[VEHIDCODE]]</f>
        <v>item_diesel_EMD_Clyde_G8</v>
      </c>
      <c r="P879" s="26" t="str">
        <f>"str_"&amp;CONTROL[[#This Row],[VEHIDCODE]]</f>
        <v>str_diesel_EMD_Clyde_G8</v>
      </c>
      <c r="Q879" s="8" t="b">
        <f>_xlfn.XLOOKUP(CONTROL[[#This Row],[VEHIDCODE]],PROPERTIES[VEHIDCODE],PROPERTIES[IS_CONCEPT])="IS_CONCEPT"</f>
        <v>0</v>
      </c>
      <c r="R879" s="8" t="b">
        <f>_xlfn.XLOOKUP(CONTROL[[#This Row],[VEHIDCODE]],PROPERTIES[VEHIDCODE],PROPERTIES[EXCLUDE])</f>
        <v>0</v>
      </c>
    </row>
    <row r="880" spans="1:18">
      <c r="A880" t="s">
        <v>3418</v>
      </c>
      <c r="B880" s="26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7" t="s">
        <v>2571</v>
      </c>
      <c r="G880" s="39" t="s">
        <v>1846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6" t="str">
        <f>"item_"&amp;CONTROL[[#This Row],[VEHIDCODE]]</f>
        <v>item_diesel_Goninan_47_Class</v>
      </c>
      <c r="P880" s="26" t="str">
        <f>"str_"&amp;CONTROL[[#This Row],[VEHIDCODE]]</f>
        <v>str_diesel_Goninan_47_Class</v>
      </c>
      <c r="Q880" s="8" t="b">
        <f>_xlfn.XLOOKUP(CONTROL[[#This Row],[VEHIDCODE]],PROPERTIES[VEHIDCODE],PROPERTIES[IS_CONCEPT])="IS_CONCEPT"</f>
        <v>0</v>
      </c>
      <c r="R880" s="8" t="b">
        <f>_xlfn.XLOOKUP(CONTROL[[#This Row],[VEHIDCODE]],PROPERTIES[VEHIDCODE],PROPERTIES[EXCLUDE])</f>
        <v>0</v>
      </c>
    </row>
    <row r="881" spans="1:18">
      <c r="A881" t="s">
        <v>3419</v>
      </c>
      <c r="B881" s="26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7" t="s">
        <v>2572</v>
      </c>
      <c r="G881" s="39" t="s">
        <v>1847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6" t="str">
        <f>"item_"&amp;CONTROL[[#This Row],[VEHIDCODE]]</f>
        <v>item_steam_William_Fairbairn_2_2_2_Baroneza</v>
      </c>
      <c r="P881" s="26" t="str">
        <f>"str_"&amp;CONTROL[[#This Row],[VEHIDCODE]]</f>
        <v>str_steam_William_Fairbairn_2_2_2_Baroneza</v>
      </c>
      <c r="Q881" s="8" t="b">
        <f>_xlfn.XLOOKUP(CONTROL[[#This Row],[VEHIDCODE]],PROPERTIES[VEHIDCODE],PROPERTIES[IS_CONCEPT])="IS_CONCEPT"</f>
        <v>0</v>
      </c>
      <c r="R881" s="8" t="b">
        <f>_xlfn.XLOOKUP(CONTROL[[#This Row],[VEHIDCODE]],PROPERTIES[VEHIDCODE],PROPERTIES[EXCLUDE])</f>
        <v>0</v>
      </c>
    </row>
    <row r="882" spans="1:18">
      <c r="A882" t="s">
        <v>3420</v>
      </c>
      <c r="B882" s="26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7" t="s">
        <v>2573</v>
      </c>
      <c r="G882" s="39" t="s">
        <v>1848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6" t="str">
        <f>"item_"&amp;CONTROL[[#This Row],[VEHIDCODE]]</f>
        <v>item_steam_Hunslet_0_4_0ST_La_Portena</v>
      </c>
      <c r="P882" s="26" t="str">
        <f>"str_"&amp;CONTROL[[#This Row],[VEHIDCODE]]</f>
        <v>str_steam_Hunslet_0_4_0ST_La_Portena</v>
      </c>
      <c r="Q882" s="8" t="b">
        <f>_xlfn.XLOOKUP(CONTROL[[#This Row],[VEHIDCODE]],PROPERTIES[VEHIDCODE],PROPERTIES[IS_CONCEPT])="IS_CONCEPT"</f>
        <v>0</v>
      </c>
      <c r="R882" s="8" t="b">
        <f>_xlfn.XLOOKUP(CONTROL[[#This Row],[VEHIDCODE]],PROPERTIES[VEHIDCODE],PROPERTIES[EXCLUDE])</f>
        <v>0</v>
      </c>
    </row>
    <row r="883" spans="1:18">
      <c r="A883" t="s">
        <v>3421</v>
      </c>
      <c r="B883" s="26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7" t="s">
        <v>2574</v>
      </c>
      <c r="G883" t="s">
        <v>1849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6" t="str">
        <f>"item_"&amp;CONTROL[[#This Row],[VEHIDCODE]]</f>
        <v>item_steam_Burnham_2_10_0_Dom_Pedro_Segundo_119</v>
      </c>
      <c r="P883" s="26" t="str">
        <f>"str_"&amp;CONTROL[[#This Row],[VEHIDCODE]]</f>
        <v>str_steam_Burnham_2_10_0_Dom_Pedro_Segundo_119</v>
      </c>
      <c r="Q883" s="8" t="b">
        <f>_xlfn.XLOOKUP(CONTROL[[#This Row],[VEHIDCODE]],PROPERTIES[VEHIDCODE],PROPERTIES[IS_CONCEPT])="IS_CONCEPT"</f>
        <v>0</v>
      </c>
      <c r="R883" s="8" t="b">
        <f>_xlfn.XLOOKUP(CONTROL[[#This Row],[VEHIDCODE]],PROPERTIES[VEHIDCODE],PROPERTIES[EXCLUDE])</f>
        <v>0</v>
      </c>
    </row>
    <row r="884" spans="1:18">
      <c r="A884" t="s">
        <v>3422</v>
      </c>
      <c r="B884" s="26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7" t="s">
        <v>2575</v>
      </c>
      <c r="G884" t="s">
        <v>1850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6" t="str">
        <f>"item_"&amp;CONTROL[[#This Row],[VEHIDCODE]]</f>
        <v>item_steam_Baldwin_0_22C_No8_Monsefu</v>
      </c>
      <c r="P884" s="26" t="str">
        <f>"str_"&amp;CONTROL[[#This Row],[VEHIDCODE]]</f>
        <v>str_steam_Baldwin_0_22C_No8_Monsefu</v>
      </c>
      <c r="Q884" s="8" t="b">
        <f>_xlfn.XLOOKUP(CONTROL[[#This Row],[VEHIDCODE]],PROPERTIES[VEHIDCODE],PROPERTIES[IS_CONCEPT])="IS_CONCEPT"</f>
        <v>0</v>
      </c>
      <c r="R884" s="8" t="b">
        <f>_xlfn.XLOOKUP(CONTROL[[#This Row],[VEHIDCODE]],PROPERTIES[VEHIDCODE],PROPERTIES[EXCLUDE])</f>
        <v>0</v>
      </c>
    </row>
    <row r="885" spans="1:18">
      <c r="A885" t="s">
        <v>3423</v>
      </c>
      <c r="B885" s="26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7" t="s">
        <v>3629</v>
      </c>
      <c r="G885" t="s">
        <v>3630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6" t="str">
        <f>"item_"&amp;CONTROL[[#This Row],[VEHIDCODE]]</f>
        <v>item_steam_FCCP_Q_Class</v>
      </c>
      <c r="P885" s="26" t="str">
        <f>"str_"&amp;CONTROL[[#This Row],[VEHIDCODE]]</f>
        <v>str_steam_FCCP_Q_Class</v>
      </c>
      <c r="Q885" s="8" t="b">
        <f>_xlfn.XLOOKUP(CONTROL[[#This Row],[VEHIDCODE]],PROPERTIES[VEHIDCODE],PROPERTIES[IS_CONCEPT])="IS_CONCEPT"</f>
        <v>0</v>
      </c>
      <c r="R885" s="8" t="b">
        <f>_xlfn.XLOOKUP(CONTROL[[#This Row],[VEHIDCODE]],PROPERTIES[VEHIDCODE],PROPERTIES[EXCLUDE])</f>
        <v>0</v>
      </c>
    </row>
    <row r="886" spans="1:18">
      <c r="A886" s="2" t="s">
        <v>3424</v>
      </c>
      <c r="B886" s="26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7" t="s">
        <v>2576</v>
      </c>
      <c r="G886" t="s">
        <v>1851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6" t="str">
        <f>"item_"&amp;CONTROL[[#This Row],[VEHIDCODE]]</f>
        <v>item_steam_NBLC_4_6_2_PS10_Class</v>
      </c>
      <c r="P886" s="26" t="str">
        <f>"str_"&amp;CONTROL[[#This Row],[VEHIDCODE]]</f>
        <v>str_steam_NBLC_4_6_2_PS10_Class</v>
      </c>
      <c r="Q886" s="8" t="b">
        <f>_xlfn.XLOOKUP(CONTROL[[#This Row],[VEHIDCODE]],PROPERTIES[VEHIDCODE],PROPERTIES[IS_CONCEPT])="IS_CONCEPT"</f>
        <v>0</v>
      </c>
      <c r="R886" s="8" t="b">
        <f>_xlfn.XLOOKUP(CONTROL[[#This Row],[VEHIDCODE]],PROPERTIES[VEHIDCODE],PROPERTIES[EXCLUDE])</f>
        <v>0</v>
      </c>
    </row>
    <row r="887" spans="1:18">
      <c r="A887" t="s">
        <v>3425</v>
      </c>
      <c r="B887" s="26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7" t="s">
        <v>2577</v>
      </c>
      <c r="G887" t="s">
        <v>1852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6" t="str">
        <f>"item_"&amp;CONTROL[[#This Row],[VEHIDCODE]]</f>
        <v>item_steam_Yorkshire_Engine_Co__4_8_4T_Nitrate_101</v>
      </c>
      <c r="P887" s="26" t="str">
        <f>"str_"&amp;CONTROL[[#This Row],[VEHIDCODE]]</f>
        <v>str_steam_Yorkshire_Engine_Co__4_8_4T_Nitrate_101</v>
      </c>
      <c r="Q887" s="8" t="b">
        <f>_xlfn.XLOOKUP(CONTROL[[#This Row],[VEHIDCODE]],PROPERTIES[VEHIDCODE],PROPERTIES[IS_CONCEPT])="IS_CONCEPT"</f>
        <v>0</v>
      </c>
      <c r="R887" s="8" t="b">
        <f>_xlfn.XLOOKUP(CONTROL[[#This Row],[VEHIDCODE]],PROPERTIES[VEHIDCODE],PROPERTIES[EXCLUDE])</f>
        <v>0</v>
      </c>
    </row>
    <row r="888" spans="1:18">
      <c r="A888" t="s">
        <v>3426</v>
      </c>
      <c r="B888" s="26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7" t="s">
        <v>2341</v>
      </c>
      <c r="G888" t="s">
        <v>1853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6" t="str">
        <f>"item_"&amp;CONTROL[[#This Row],[VEHIDCODE]]</f>
        <v>item_electric_SLM_BBC_1_D_1</v>
      </c>
      <c r="P888" s="26" t="str">
        <f>"str_"&amp;CONTROL[[#This Row],[VEHIDCODE]]</f>
        <v>str_electric_SLM_BBC_1_D_1</v>
      </c>
      <c r="Q888" s="8" t="b">
        <f>_xlfn.XLOOKUP(CONTROL[[#This Row],[VEHIDCODE]],PROPERTIES[VEHIDCODE],PROPERTIES[IS_CONCEPT])="IS_CONCEPT"</f>
        <v>0</v>
      </c>
      <c r="R888" s="8" t="b">
        <f>_xlfn.XLOOKUP(CONTROL[[#This Row],[VEHIDCODE]],PROPERTIES[VEHIDCODE],PROPERTIES[EXCLUDE])</f>
        <v>0</v>
      </c>
    </row>
    <row r="889" spans="1:18">
      <c r="A889" t="s">
        <v>3427</v>
      </c>
      <c r="B889" s="26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7" t="s">
        <v>1855</v>
      </c>
      <c r="G889" t="s">
        <v>1856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6" t="str">
        <f>"item_"&amp;CONTROL[[#This Row],[VEHIDCODE]]</f>
        <v>item_electric_GE_2_C_C_2</v>
      </c>
      <c r="P889" s="26" t="str">
        <f>"str_"&amp;CONTROL[[#This Row],[VEHIDCODE]]</f>
        <v>str_electric_GE_2_C_C_2</v>
      </c>
      <c r="Q889" s="8" t="b">
        <f>_xlfn.XLOOKUP(CONTROL[[#This Row],[VEHIDCODE]],PROPERTIES[VEHIDCODE],PROPERTIES[IS_CONCEPT])="IS_CONCEPT"</f>
        <v>0</v>
      </c>
      <c r="R889" s="8" t="b">
        <f>_xlfn.XLOOKUP(CONTROL[[#This Row],[VEHIDCODE]],PROPERTIES[VEHIDCODE],PROPERTIES[EXCLUDE])</f>
        <v>0</v>
      </c>
    </row>
    <row r="890" spans="1:18">
      <c r="A890" t="s">
        <v>3428</v>
      </c>
      <c r="B890" s="26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7" t="s">
        <v>2578</v>
      </c>
      <c r="G890" t="s">
        <v>1858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6" t="str">
        <f>"item_"&amp;CONTROL[[#This Row],[VEHIDCODE]]</f>
        <v>item_steam_Norris___Brothers_4_4_0_La_Copiapo</v>
      </c>
      <c r="P890" s="26" t="str">
        <f>"str_"&amp;CONTROL[[#This Row],[VEHIDCODE]]</f>
        <v>str_steam_Norris___Brothers_4_4_0_La_Copiapo</v>
      </c>
      <c r="Q890" s="8" t="b">
        <f>_xlfn.XLOOKUP(CONTROL[[#This Row],[VEHIDCODE]],PROPERTIES[VEHIDCODE],PROPERTIES[IS_CONCEPT])="IS_CONCEPT"</f>
        <v>0</v>
      </c>
      <c r="R890" s="8" t="b">
        <f>_xlfn.XLOOKUP(CONTROL[[#This Row],[VEHIDCODE]],PROPERTIES[VEHIDCODE],PROPERTIES[EXCLUDE])</f>
        <v>0</v>
      </c>
    </row>
    <row r="891" spans="1:18">
      <c r="A891" t="s">
        <v>3429</v>
      </c>
      <c r="B891" s="26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7" t="s">
        <v>1859</v>
      </c>
      <c r="G891" t="s">
        <v>1860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6" t="str">
        <f>"item_"&amp;CONTROL[[#This Row],[VEHIDCODE]]</f>
        <v>item_electric_AEG_A1A_A1A</v>
      </c>
      <c r="P891" s="26" t="str">
        <f>"str_"&amp;CONTROL[[#This Row],[VEHIDCODE]]</f>
        <v>str_electric_AEG_A1A_A1A</v>
      </c>
      <c r="Q891" s="8" t="b">
        <f>_xlfn.XLOOKUP(CONTROL[[#This Row],[VEHIDCODE]],PROPERTIES[VEHIDCODE],PROPERTIES[IS_CONCEPT])="IS_CONCEPT"</f>
        <v>0</v>
      </c>
      <c r="R891" s="8" t="b">
        <f>_xlfn.XLOOKUP(CONTROL[[#This Row],[VEHIDCODE]],PROPERTIES[VEHIDCODE],PROPERTIES[EXCLUDE])</f>
        <v>0</v>
      </c>
    </row>
    <row r="892" spans="1:18">
      <c r="A892" t="s">
        <v>3430</v>
      </c>
      <c r="B892" s="26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7" t="s">
        <v>1862</v>
      </c>
      <c r="G892" t="s">
        <v>1861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6" t="str">
        <f>"item_"&amp;CONTROL[[#This Row],[VEHIDCODE]]</f>
        <v>item_dmu_Ganz_Arpad_Bariloche_DMU</v>
      </c>
      <c r="P892" s="26" t="str">
        <f>"str_"&amp;CONTROL[[#This Row],[VEHIDCODE]]</f>
        <v>str_dmu_Ganz_Arpad_Bariloche_DMU</v>
      </c>
      <c r="Q892" s="8" t="b">
        <f>_xlfn.XLOOKUP(CONTROL[[#This Row],[VEHIDCODE]],PROPERTIES[VEHIDCODE],PROPERTIES[IS_CONCEPT])="IS_CONCEPT"</f>
        <v>0</v>
      </c>
      <c r="R892" s="8" t="b">
        <f>_xlfn.XLOOKUP(CONTROL[[#This Row],[VEHIDCODE]],PROPERTIES[VEHIDCODE],PROPERTIES[EXCLUDE])</f>
        <v>0</v>
      </c>
    </row>
    <row r="893" spans="1:18">
      <c r="A893" t="s">
        <v>3431</v>
      </c>
      <c r="B893" s="26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7" t="s">
        <v>2579</v>
      </c>
      <c r="G893" t="s">
        <v>1863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6" t="str">
        <f>"item_"&amp;CONTROL[[#This Row],[VEHIDCODE]]</f>
        <v>item_steam_Avonside_0_6_0ST_Sao_Paulo_No__13___14</v>
      </c>
      <c r="P893" s="26" t="str">
        <f>"str_"&amp;CONTROL[[#This Row],[VEHIDCODE]]</f>
        <v>str_steam_Avonside_0_6_0ST_Sao_Paulo_No__13___14</v>
      </c>
      <c r="Q893" s="8" t="b">
        <f>_xlfn.XLOOKUP(CONTROL[[#This Row],[VEHIDCODE]],PROPERTIES[VEHIDCODE],PROPERTIES[IS_CONCEPT])="IS_CONCEPT"</f>
        <v>0</v>
      </c>
      <c r="R893" s="8" t="b">
        <f>_xlfn.XLOOKUP(CONTROL[[#This Row],[VEHIDCODE]],PROPERTIES[VEHIDCODE],PROPERTIES[EXCLUDE])</f>
        <v>0</v>
      </c>
    </row>
    <row r="894" spans="1:18">
      <c r="A894" t="s">
        <v>3432</v>
      </c>
      <c r="B894" s="26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7" t="s">
        <v>1864</v>
      </c>
      <c r="G894" t="s">
        <v>1865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6" t="str">
        <f>"item_"&amp;CONTROL[[#This Row],[VEHIDCODE]]</f>
        <v>item_dmu_Ganz_Arpad_CMU_4701_Transandino</v>
      </c>
      <c r="P894" s="26" t="str">
        <f>"str_"&amp;CONTROL[[#This Row],[VEHIDCODE]]</f>
        <v>str_dmu_Ganz_Arpad_CMU_4701_Transandino</v>
      </c>
      <c r="Q894" s="8" t="b">
        <f>_xlfn.XLOOKUP(CONTROL[[#This Row],[VEHIDCODE]],PROPERTIES[VEHIDCODE],PROPERTIES[IS_CONCEPT])="IS_CONCEPT"</f>
        <v>0</v>
      </c>
      <c r="R894" s="8" t="b">
        <f>_xlfn.XLOOKUP(CONTROL[[#This Row],[VEHIDCODE]],PROPERTIES[VEHIDCODE],PROPERTIES[EXCLUDE])</f>
        <v>0</v>
      </c>
    </row>
    <row r="895" spans="1:18">
      <c r="A895" t="s">
        <v>3433</v>
      </c>
      <c r="B895" s="26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7" t="s">
        <v>2580</v>
      </c>
      <c r="G895" s="39" t="s">
        <v>1866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6" t="str">
        <f>"item_"&amp;CONTROL[[#This Row],[VEHIDCODE]]</f>
        <v>item_emu_Kawasaki_Hitachi_AEZ_Railcar</v>
      </c>
      <c r="P895" s="26" t="str">
        <f>"str_"&amp;CONTROL[[#This Row],[VEHIDCODE]]</f>
        <v>str_emu_Kawasaki_Hitachi_AEZ_Railcar</v>
      </c>
      <c r="Q895" s="8" t="b">
        <f>_xlfn.XLOOKUP(CONTROL[[#This Row],[VEHIDCODE]],PROPERTIES[VEHIDCODE],PROPERTIES[IS_CONCEPT])="IS_CONCEPT"</f>
        <v>0</v>
      </c>
      <c r="R895" s="8" t="b">
        <f>_xlfn.XLOOKUP(CONTROL[[#This Row],[VEHIDCODE]],PROPERTIES[VEHIDCODE],PROPERTIES[EXCLUDE])</f>
        <v>0</v>
      </c>
    </row>
    <row r="896" spans="1:18">
      <c r="A896" t="s">
        <v>3434</v>
      </c>
      <c r="B896" s="26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7" t="s">
        <v>1874</v>
      </c>
      <c r="G896" t="s">
        <v>561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6" t="str">
        <f>"item_"&amp;CONTROL[[#This Row],[VEHIDCODE]]</f>
        <v>item_emu_BREL_GEC_Auckland_ART_Concept</v>
      </c>
      <c r="P896" s="26" t="str">
        <f>"str_"&amp;CONTROL[[#This Row],[VEHIDCODE]]</f>
        <v>str_emu_BREL_GEC_Auckland_ART_Concept</v>
      </c>
      <c r="Q896" s="8" t="b">
        <f>_xlfn.XLOOKUP(CONTROL[[#This Row],[VEHIDCODE]],PROPERTIES[VEHIDCODE],PROPERTIES[IS_CONCEPT])="IS_CONCEPT"</f>
        <v>1</v>
      </c>
      <c r="R896" s="8" t="b">
        <f>_xlfn.XLOOKUP(CONTROL[[#This Row],[VEHIDCODE]],PROPERTIES[VEHIDCODE],PROPERTIES[EXCLUDE])</f>
        <v>0</v>
      </c>
    </row>
    <row r="897" spans="1:18">
      <c r="A897" t="s">
        <v>3435</v>
      </c>
      <c r="B897" s="26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7" t="s">
        <v>2581</v>
      </c>
      <c r="G897" t="s">
        <v>1875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6" t="str">
        <f>"item_"&amp;CONTROL[[#This Row],[VEHIDCODE]]</f>
        <v>item_dmu_Comeng_1100_Railcar</v>
      </c>
      <c r="P897" s="26" t="str">
        <f>"str_"&amp;CONTROL[[#This Row],[VEHIDCODE]]</f>
        <v>str_dmu_Comeng_1100_Railcar</v>
      </c>
      <c r="Q897" s="8" t="b">
        <f>_xlfn.XLOOKUP(CONTROL[[#This Row],[VEHIDCODE]],PROPERTIES[VEHIDCODE],PROPERTIES[IS_CONCEPT])="IS_CONCEPT"</f>
        <v>0</v>
      </c>
      <c r="R897" s="8" t="b">
        <f>_xlfn.XLOOKUP(CONTROL[[#This Row],[VEHIDCODE]],PROPERTIES[VEHIDCODE],PROPERTIES[EXCLUDE])</f>
        <v>0</v>
      </c>
    </row>
    <row r="898" spans="1:18">
      <c r="A898" t="s">
        <v>3436</v>
      </c>
      <c r="B898" s="26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7" t="s">
        <v>1877</v>
      </c>
      <c r="G898" t="s">
        <v>561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6" t="str">
        <f>"item_"&amp;CONTROL[[#This Row],[VEHIDCODE]]</f>
        <v>item_dmu_Thai_Comeng_XPT_Concept</v>
      </c>
      <c r="P898" s="26" t="str">
        <f>"str_"&amp;CONTROL[[#This Row],[VEHIDCODE]]</f>
        <v>str_dmu_Thai_Comeng_XPT_Concept</v>
      </c>
      <c r="Q898" s="8" t="b">
        <f>_xlfn.XLOOKUP(CONTROL[[#This Row],[VEHIDCODE]],PROPERTIES[VEHIDCODE],PROPERTIES[IS_CONCEPT])="IS_CONCEPT"</f>
        <v>1</v>
      </c>
      <c r="R898" s="8" t="b">
        <f>_xlfn.XLOOKUP(CONTROL[[#This Row],[VEHIDCODE]],PROPERTIES[VEHIDCODE],PROPERTIES[EXCLUDE])</f>
        <v>0</v>
      </c>
    </row>
    <row r="899" spans="1:18">
      <c r="A899" s="2" t="s">
        <v>3437</v>
      </c>
      <c r="B899" s="26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7" t="s">
        <v>2582</v>
      </c>
      <c r="G899" t="s">
        <v>1878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6" t="str">
        <f>"item_"&amp;CONTROL[[#This Row],[VEHIDCODE]]</f>
        <v>item_dmu_Comeng_NSW_XPT</v>
      </c>
      <c r="P899" s="26" t="str">
        <f>"str_"&amp;CONTROL[[#This Row],[VEHIDCODE]]</f>
        <v>str_dmu_Comeng_NSW_XPT</v>
      </c>
      <c r="Q899" s="8" t="b">
        <f>_xlfn.XLOOKUP(CONTROL[[#This Row],[VEHIDCODE]],PROPERTIES[VEHIDCODE],PROPERTIES[IS_CONCEPT])="IS_CONCEPT"</f>
        <v>0</v>
      </c>
      <c r="R899" s="8" t="b">
        <f>_xlfn.XLOOKUP(CONTROL[[#This Row],[VEHIDCODE]],PROPERTIES[VEHIDCODE],PROPERTIES[EXCLUDE])</f>
        <v>0</v>
      </c>
    </row>
    <row r="900" spans="1:18">
      <c r="A900" t="s">
        <v>3438</v>
      </c>
      <c r="B900" s="26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7" t="s">
        <v>1879</v>
      </c>
      <c r="G900" t="s">
        <v>561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6" t="str">
        <f>"item_"&amp;CONTROL[[#This Row],[VEHIDCODE]]</f>
        <v>item_emu_Tangara_V_Set_Hybrid_Concept</v>
      </c>
      <c r="P900" s="26" t="str">
        <f>"str_"&amp;CONTROL[[#This Row],[VEHIDCODE]]</f>
        <v>str_emu_Tangara_V_Set_Hybrid_Concept</v>
      </c>
      <c r="Q900" s="8" t="b">
        <f>_xlfn.XLOOKUP(CONTROL[[#This Row],[VEHIDCODE]],PROPERTIES[VEHIDCODE],PROPERTIES[IS_CONCEPT])="IS_CONCEPT"</f>
        <v>1</v>
      </c>
      <c r="R900" s="8" t="b">
        <f>_xlfn.XLOOKUP(CONTROL[[#This Row],[VEHIDCODE]],PROPERTIES[VEHIDCODE],PROPERTIES[EXCLUDE])</f>
        <v>0</v>
      </c>
    </row>
    <row r="901" spans="1:18">
      <c r="A901" t="s">
        <v>3439</v>
      </c>
      <c r="B901" s="26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7" t="s">
        <v>1880</v>
      </c>
      <c r="G901" t="s">
        <v>1881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6" t="str">
        <f>"item_"&amp;CONTROL[[#This Row],[VEHIDCODE]]</f>
        <v>item_dmu_NSWGR_800_900_DEB</v>
      </c>
      <c r="P901" s="26" t="str">
        <f>"str_"&amp;CONTROL[[#This Row],[VEHIDCODE]]</f>
        <v>str_dmu_NSWGR_800_900_DEB</v>
      </c>
      <c r="Q901" s="8" t="b">
        <f>_xlfn.XLOOKUP(CONTROL[[#This Row],[VEHIDCODE]],PROPERTIES[VEHIDCODE],PROPERTIES[IS_CONCEPT])="IS_CONCEPT"</f>
        <v>1</v>
      </c>
      <c r="R901" s="8" t="b">
        <f>_xlfn.XLOOKUP(CONTROL[[#This Row],[VEHIDCODE]],PROPERTIES[VEHIDCODE],PROPERTIES[EXCLUDE])</f>
        <v>0</v>
      </c>
    </row>
    <row r="902" spans="1:18">
      <c r="A902" t="s">
        <v>3440</v>
      </c>
      <c r="B902" s="26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7" t="s">
        <v>2583</v>
      </c>
      <c r="G902" t="s">
        <v>1882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6" t="str">
        <f>"item_"&amp;CONTROL[[#This Row],[VEHIDCODE]]</f>
        <v>item_emu_Goninan_Tangara_4D_Prototype</v>
      </c>
      <c r="P902" s="26" t="str">
        <f>"str_"&amp;CONTROL[[#This Row],[VEHIDCODE]]</f>
        <v>str_emu_Goninan_Tangara_4D_Prototype</v>
      </c>
      <c r="Q902" s="8" t="b">
        <f>_xlfn.XLOOKUP(CONTROL[[#This Row],[VEHIDCODE]],PROPERTIES[VEHIDCODE],PROPERTIES[IS_CONCEPT])="IS_CONCEPT"</f>
        <v>0</v>
      </c>
      <c r="R902" s="8" t="b">
        <f>_xlfn.XLOOKUP(CONTROL[[#This Row],[VEHIDCODE]],PROPERTIES[VEHIDCODE],PROPERTIES[EXCLUDE])</f>
        <v>0</v>
      </c>
    </row>
    <row r="903" spans="1:18">
      <c r="A903" t="s">
        <v>3441</v>
      </c>
      <c r="B903" s="26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7" t="s">
        <v>2584</v>
      </c>
      <c r="G903" t="s">
        <v>1884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6" t="str">
        <f>"item_"&amp;CONTROL[[#This Row],[VEHIDCODE]]</f>
        <v>item_emu_Goninan_Tangara_T_Set</v>
      </c>
      <c r="P903" s="26" t="str">
        <f>"str_"&amp;CONTROL[[#This Row],[VEHIDCODE]]</f>
        <v>str_emu_Goninan_Tangara_T_Set</v>
      </c>
      <c r="Q903" s="8" t="b">
        <f>_xlfn.XLOOKUP(CONTROL[[#This Row],[VEHIDCODE]],PROPERTIES[VEHIDCODE],PROPERTIES[IS_CONCEPT])="IS_CONCEPT"</f>
        <v>0</v>
      </c>
      <c r="R903" s="8" t="b">
        <f>_xlfn.XLOOKUP(CONTROL[[#This Row],[VEHIDCODE]],PROPERTIES[VEHIDCODE],PROPERTIES[EXCLUDE])</f>
        <v>0</v>
      </c>
    </row>
    <row r="904" spans="1:18">
      <c r="A904" t="s">
        <v>3442</v>
      </c>
      <c r="B904" s="26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7" t="s">
        <v>1883</v>
      </c>
      <c r="G904" t="s">
        <v>1885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6" t="str">
        <f>"item_"&amp;CONTROL[[#This Row],[VEHIDCODE]]</f>
        <v>item_dmu_NSWGR_600_700</v>
      </c>
      <c r="P904" s="26" t="str">
        <f>"str_"&amp;CONTROL[[#This Row],[VEHIDCODE]]</f>
        <v>str_dmu_NSWGR_600_700</v>
      </c>
      <c r="Q904" s="8" t="b">
        <f>_xlfn.XLOOKUP(CONTROL[[#This Row],[VEHIDCODE]],PROPERTIES[VEHIDCODE],PROPERTIES[IS_CONCEPT])="IS_CONCEPT"</f>
        <v>0</v>
      </c>
      <c r="R904" s="8" t="b">
        <f>_xlfn.XLOOKUP(CONTROL[[#This Row],[VEHIDCODE]],PROPERTIES[VEHIDCODE],PROPERTIES[EXCLUDE])</f>
        <v>0</v>
      </c>
    </row>
    <row r="905" spans="1:18">
      <c r="A905" t="s">
        <v>3443</v>
      </c>
      <c r="B905" s="26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7" t="s">
        <v>2585</v>
      </c>
      <c r="G905" t="s">
        <v>1886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6" t="str">
        <f>"item_"&amp;CONTROL[[#This Row],[VEHIDCODE]]</f>
        <v>item_dmu_Kawasaki_RM_Silver_Fern</v>
      </c>
      <c r="P905" s="26" t="str">
        <f>"str_"&amp;CONTROL[[#This Row],[VEHIDCODE]]</f>
        <v>str_dmu_Kawasaki_RM_Silver_Fern</v>
      </c>
      <c r="Q905" s="8" t="b">
        <f>_xlfn.XLOOKUP(CONTROL[[#This Row],[VEHIDCODE]],PROPERTIES[VEHIDCODE],PROPERTIES[IS_CONCEPT])="IS_CONCEPT"</f>
        <v>0</v>
      </c>
      <c r="R905" s="8" t="b">
        <f>_xlfn.XLOOKUP(CONTROL[[#This Row],[VEHIDCODE]],PROPERTIES[VEHIDCODE],PROPERTIES[EXCLUDE])</f>
        <v>0</v>
      </c>
    </row>
    <row r="906" spans="1:18">
      <c r="A906" t="s">
        <v>3444</v>
      </c>
      <c r="B906" s="26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7" t="s">
        <v>2586</v>
      </c>
      <c r="G906" t="s">
        <v>1887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6" t="str">
        <f>"item_"&amp;CONTROL[[#This Row],[VEHIDCODE]]</f>
        <v>item_emu_Comeng_W_Class_Sputnik</v>
      </c>
      <c r="P906" s="26" t="str">
        <f>"str_"&amp;CONTROL[[#This Row],[VEHIDCODE]]</f>
        <v>str_emu_Comeng_W_Class_Sputnik</v>
      </c>
      <c r="Q906" s="8" t="b">
        <f>_xlfn.XLOOKUP(CONTROL[[#This Row],[VEHIDCODE]],PROPERTIES[VEHIDCODE],PROPERTIES[IS_CONCEPT])="IS_CONCEPT"</f>
        <v>0</v>
      </c>
      <c r="R906" s="8" t="b">
        <f>_xlfn.XLOOKUP(CONTROL[[#This Row],[VEHIDCODE]],PROPERTIES[VEHIDCODE],PROPERTIES[EXCLUDE])</f>
        <v>0</v>
      </c>
    </row>
    <row r="907" spans="1:18">
      <c r="A907" t="s">
        <v>3445</v>
      </c>
      <c r="B907" s="26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7" t="s">
        <v>2587</v>
      </c>
      <c r="G907" t="s">
        <v>1892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6" t="str">
        <f>"item_"&amp;CONTROL[[#This Row],[VEHIDCODE]]</f>
        <v>item_emu_Leeds_Clyde_Standard_EMU</v>
      </c>
      <c r="P907" s="26" t="str">
        <f>"str_"&amp;CONTROL[[#This Row],[VEHIDCODE]]</f>
        <v>str_emu_Leeds_Clyde_Standard_EMU</v>
      </c>
      <c r="Q907" s="8" t="b">
        <f>_xlfn.XLOOKUP(CONTROL[[#This Row],[VEHIDCODE]],PROPERTIES[VEHIDCODE],PROPERTIES[IS_CONCEPT])="IS_CONCEPT"</f>
        <v>0</v>
      </c>
      <c r="R907" s="8" t="b">
        <f>_xlfn.XLOOKUP(CONTROL[[#This Row],[VEHIDCODE]],PROPERTIES[VEHIDCODE],PROPERTIES[EXCLUDE])</f>
        <v>0</v>
      </c>
    </row>
    <row r="908" spans="1:18">
      <c r="A908" t="s">
        <v>3446</v>
      </c>
      <c r="B908" s="26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7" t="s">
        <v>1893</v>
      </c>
      <c r="G908" t="s">
        <v>1894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6" t="str">
        <f>"item_"&amp;CONTROL[[#This Row],[VEHIDCODE]]</f>
        <v>item_emu_NSWGR_Tulloch_EMU</v>
      </c>
      <c r="P908" s="26" t="str">
        <f>"str_"&amp;CONTROL[[#This Row],[VEHIDCODE]]</f>
        <v>str_emu_NSWGR_Tulloch_EMU</v>
      </c>
      <c r="Q908" s="8" t="b">
        <f>_xlfn.XLOOKUP(CONTROL[[#This Row],[VEHIDCODE]],PROPERTIES[VEHIDCODE],PROPERTIES[IS_CONCEPT])="IS_CONCEPT"</f>
        <v>0</v>
      </c>
      <c r="R908" s="8" t="b">
        <f>_xlfn.XLOOKUP(CONTROL[[#This Row],[VEHIDCODE]],PROPERTIES[VEHIDCODE],PROPERTIES[EXCLUDE])</f>
        <v>0</v>
      </c>
    </row>
    <row r="909" spans="1:18">
      <c r="A909" t="s">
        <v>3447</v>
      </c>
      <c r="B909" s="26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7" t="s">
        <v>2588</v>
      </c>
      <c r="G909" t="s">
        <v>1895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6" t="str">
        <f>"item_"&amp;CONTROL[[#This Row],[VEHIDCODE]]</f>
        <v>item_emu_Alstom_XTrapolis_100_Melbourne</v>
      </c>
      <c r="P909" s="26" t="str">
        <f>"str_"&amp;CONTROL[[#This Row],[VEHIDCODE]]</f>
        <v>str_emu_Alstom_XTrapolis_100_Melbourne</v>
      </c>
      <c r="Q909" s="8" t="b">
        <f>_xlfn.XLOOKUP(CONTROL[[#This Row],[VEHIDCODE]],PROPERTIES[VEHIDCODE],PROPERTIES[IS_CONCEPT])="IS_CONCEPT"</f>
        <v>0</v>
      </c>
      <c r="R909" s="8" t="b">
        <f>_xlfn.XLOOKUP(CONTROL[[#This Row],[VEHIDCODE]],PROPERTIES[VEHIDCODE],PROPERTIES[EXCLUDE])</f>
        <v>0</v>
      </c>
    </row>
    <row r="910" spans="1:18">
      <c r="A910" t="s">
        <v>1896</v>
      </c>
      <c r="B910" s="26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7" t="s">
        <v>3658</v>
      </c>
      <c r="G910" t="s">
        <v>561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6" t="str">
        <f>"item_"&amp;CONTROL[[#This Row],[VEHIDCODE]]</f>
        <v>item_mu_Coach_Gen1_American_Style_NZAUS_Coach</v>
      </c>
      <c r="P910" s="26" t="str">
        <f>"str_"&amp;CONTROL[[#This Row],[VEHIDCODE]]</f>
        <v>str_mu_Coach_Gen1_American_Style_NZAUS_Coach</v>
      </c>
      <c r="Q910" s="8" t="b">
        <f>_xlfn.XLOOKUP(CONTROL[[#This Row],[VEHIDCODE]],PROPERTIES[VEHIDCODE],PROPERTIES[IS_CONCEPT])="IS_CONCEPT"</f>
        <v>0</v>
      </c>
      <c r="R910" s="8" t="b">
        <f>_xlfn.XLOOKUP(CONTROL[[#This Row],[VEHIDCODE]],PROPERTIES[VEHIDCODE],PROPERTIES[EXCLUDE])</f>
        <v>0</v>
      </c>
    </row>
    <row r="911" spans="1:18">
      <c r="A911" t="s">
        <v>1898</v>
      </c>
      <c r="B911" s="26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7" t="s">
        <v>3659</v>
      </c>
      <c r="G911" t="s">
        <v>561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6" t="str">
        <f>"item_"&amp;CONTROL[[#This Row],[VEHIDCODE]]</f>
        <v>item_mu_Coach_Gen1_American_Style_NZAUS_Mail_Coach</v>
      </c>
      <c r="P911" s="26" t="str">
        <f>"str_"&amp;CONTROL[[#This Row],[VEHIDCODE]]</f>
        <v>str_mu_Coach_Gen1_American_Style_NZAUS_Mail_Coach</v>
      </c>
      <c r="Q911" s="8" t="b">
        <f>_xlfn.XLOOKUP(CONTROL[[#This Row],[VEHIDCODE]],PROPERTIES[VEHIDCODE],PROPERTIES[IS_CONCEPT])="IS_CONCEPT"</f>
        <v>0</v>
      </c>
      <c r="R911" s="8" t="b">
        <f>_xlfn.XLOOKUP(CONTROL[[#This Row],[VEHIDCODE]],PROPERTIES[VEHIDCODE],PROPERTIES[EXCLUDE])</f>
        <v>0</v>
      </c>
    </row>
    <row r="912" spans="1:18">
      <c r="A912" t="s">
        <v>1899</v>
      </c>
      <c r="B912" s="26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7" t="s">
        <v>1901</v>
      </c>
      <c r="G912" t="s">
        <v>561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6" t="str">
        <f>"item_"&amp;CONTROL[[#This Row],[VEHIDCODE]]</f>
        <v>item_mu_Coach_Gen1_2_Axle_NZAUS_Coach</v>
      </c>
      <c r="P912" s="26" t="str">
        <f>"str_"&amp;CONTROL[[#This Row],[VEHIDCODE]]</f>
        <v>str_mu_Coach_Gen1_2_Axle_NZAUS_Coach</v>
      </c>
      <c r="Q912" s="8" t="b">
        <f>_xlfn.XLOOKUP(CONTROL[[#This Row],[VEHIDCODE]],PROPERTIES[VEHIDCODE],PROPERTIES[IS_CONCEPT])="IS_CONCEPT"</f>
        <v>0</v>
      </c>
      <c r="R912" s="8" t="b">
        <f>_xlfn.XLOOKUP(CONTROL[[#This Row],[VEHIDCODE]],PROPERTIES[VEHIDCODE],PROPERTIES[EXCLUDE])</f>
        <v>0</v>
      </c>
    </row>
    <row r="913" spans="1:18">
      <c r="A913" t="s">
        <v>1900</v>
      </c>
      <c r="B913" s="26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7" t="s">
        <v>1902</v>
      </c>
      <c r="G913" t="s">
        <v>561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6" t="str">
        <f>"item_"&amp;CONTROL[[#This Row],[VEHIDCODE]]</f>
        <v>item_mu_Coach_Gen1_2_Axle_NZAUS_Mail_Coach</v>
      </c>
      <c r="P913" s="26" t="str">
        <f>"str_"&amp;CONTROL[[#This Row],[VEHIDCODE]]</f>
        <v>str_mu_Coach_Gen1_2_Axle_NZAUS_Mail_Coach</v>
      </c>
      <c r="Q913" s="8" t="b">
        <f>_xlfn.XLOOKUP(CONTROL[[#This Row],[VEHIDCODE]],PROPERTIES[VEHIDCODE],PROPERTIES[IS_CONCEPT])="IS_CONCEPT"</f>
        <v>0</v>
      </c>
      <c r="R913" s="8" t="b">
        <f>_xlfn.XLOOKUP(CONTROL[[#This Row],[VEHIDCODE]],PROPERTIES[VEHIDCODE],PROPERTIES[EXCLUDE])</f>
        <v>0</v>
      </c>
    </row>
    <row r="914" spans="1:18">
      <c r="A914" t="s">
        <v>1903</v>
      </c>
      <c r="B914" s="26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7" t="s">
        <v>1905</v>
      </c>
      <c r="G914" t="s">
        <v>561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6" t="str">
        <f>"item_"&amp;CONTROL[[#This Row],[VEHIDCODE]]</f>
        <v>item_mu_Coach_Gen1_End_Platform_2_Axle_NZAUS_Coach</v>
      </c>
      <c r="P914" s="26" t="str">
        <f>"str_"&amp;CONTROL[[#This Row],[VEHIDCODE]]</f>
        <v>str_mu_Coach_Gen1_End_Platform_2_Axle_NZAUS_Coach</v>
      </c>
      <c r="Q914" s="8" t="b">
        <f>_xlfn.XLOOKUP(CONTROL[[#This Row],[VEHIDCODE]],PROPERTIES[VEHIDCODE],PROPERTIES[IS_CONCEPT])="IS_CONCEPT"</f>
        <v>0</v>
      </c>
      <c r="R914" s="8" t="b">
        <f>_xlfn.XLOOKUP(CONTROL[[#This Row],[VEHIDCODE]],PROPERTIES[VEHIDCODE],PROPERTIES[EXCLUDE])</f>
        <v>0</v>
      </c>
    </row>
    <row r="915" spans="1:18">
      <c r="A915" t="s">
        <v>1904</v>
      </c>
      <c r="B915" s="26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7" t="s">
        <v>1906</v>
      </c>
      <c r="G915" t="s">
        <v>561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6" t="str">
        <f>"item_"&amp;CONTROL[[#This Row],[VEHIDCODE]]</f>
        <v>item_mu_Coach_Gen1_Suburban_2_Axle_NZAUS_Coach</v>
      </c>
      <c r="P915" s="26" t="str">
        <f>"str_"&amp;CONTROL[[#This Row],[VEHIDCODE]]</f>
        <v>str_mu_Coach_Gen1_Suburban_2_Axle_NZAUS_Coach</v>
      </c>
      <c r="Q915" s="8" t="b">
        <f>_xlfn.XLOOKUP(CONTROL[[#This Row],[VEHIDCODE]],PROPERTIES[VEHIDCODE],PROPERTIES[IS_CONCEPT])="IS_CONCEPT"</f>
        <v>0</v>
      </c>
      <c r="R915" s="8" t="b">
        <f>_xlfn.XLOOKUP(CONTROL[[#This Row],[VEHIDCODE]],PROPERTIES[VEHIDCODE],PROPERTIES[EXCLUDE])</f>
        <v>0</v>
      </c>
    </row>
    <row r="916" spans="1:18">
      <c r="A916" t="s">
        <v>1907</v>
      </c>
      <c r="B916" s="26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7" t="s">
        <v>2589</v>
      </c>
      <c r="G916" t="s">
        <v>1909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6" t="str">
        <f>"item_"&amp;CONTROL[[#This Row],[VEHIDCODE]]</f>
        <v>item_mu_Coach_Gen4_BREL_Mk3_Coach</v>
      </c>
      <c r="P916" s="26" t="str">
        <f>"str_"&amp;CONTROL[[#This Row],[VEHIDCODE]]</f>
        <v>str_mu_Coach_Gen4_BREL_Mk3_Coach</v>
      </c>
      <c r="Q916" s="8" t="b">
        <f>_xlfn.XLOOKUP(CONTROL[[#This Row],[VEHIDCODE]],PROPERTIES[VEHIDCODE],PROPERTIES[IS_CONCEPT])="IS_CONCEPT"</f>
        <v>0</v>
      </c>
      <c r="R916" s="8" t="b">
        <f>_xlfn.XLOOKUP(CONTROL[[#This Row],[VEHIDCODE]],PROPERTIES[VEHIDCODE],PROPERTIES[EXCLUDE])</f>
        <v>0</v>
      </c>
    </row>
    <row r="917" spans="1:18">
      <c r="A917" t="s">
        <v>1908</v>
      </c>
      <c r="B917" s="26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7" t="s">
        <v>2590</v>
      </c>
      <c r="G917" t="s">
        <v>1909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6" t="str">
        <f>"item_"&amp;CONTROL[[#This Row],[VEHIDCODE]]</f>
        <v>item_mu_Coach_Gen4_BREL_Mk3_Mail_Coach</v>
      </c>
      <c r="P917" s="26" t="str">
        <f>"str_"&amp;CONTROL[[#This Row],[VEHIDCODE]]</f>
        <v>str_mu_Coach_Gen4_BREL_Mk3_Mail_Coach</v>
      </c>
      <c r="Q917" s="8" t="b">
        <f>_xlfn.XLOOKUP(CONTROL[[#This Row],[VEHIDCODE]],PROPERTIES[VEHIDCODE],PROPERTIES[IS_CONCEPT])="IS_CONCEPT"</f>
        <v>0</v>
      </c>
      <c r="R917" s="8" t="b">
        <f>_xlfn.XLOOKUP(CONTROL[[#This Row],[VEHIDCODE]],PROPERTIES[VEHIDCODE],PROPERTIES[EXCLUDE])</f>
        <v>0</v>
      </c>
    </row>
    <row r="918" spans="1:18">
      <c r="A918" t="s">
        <v>1910</v>
      </c>
      <c r="B918" s="26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7" t="s">
        <v>1911</v>
      </c>
      <c r="G918" t="s">
        <v>561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6" t="str">
        <f>"item_"&amp;CONTROL[[#This Row],[VEHIDCODE]]</f>
        <v>item_mu_Coach_Gen4_Comeng_Suburban_Double_Deck_SA2000</v>
      </c>
      <c r="P918" s="26" t="str">
        <f>"str_"&amp;CONTROL[[#This Row],[VEHIDCODE]]</f>
        <v>str_mu_Coach_Gen4_Comeng_Suburban_Double_Deck_SA2000</v>
      </c>
      <c r="Q918" s="8" t="b">
        <f>_xlfn.XLOOKUP(CONTROL[[#This Row],[VEHIDCODE]],PROPERTIES[VEHIDCODE],PROPERTIES[IS_CONCEPT])="IS_CONCEPT"</f>
        <v>1</v>
      </c>
      <c r="R918" s="8" t="b">
        <f>_xlfn.XLOOKUP(CONTROL[[#This Row],[VEHIDCODE]],PROPERTIES[VEHIDCODE],PROPERTIES[EXCLUDE])</f>
        <v>0</v>
      </c>
    </row>
    <row r="919" spans="1:18">
      <c r="A919" t="s">
        <v>1912</v>
      </c>
      <c r="B919" s="26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7" t="s">
        <v>3631</v>
      </c>
      <c r="G919" t="s">
        <v>561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6" t="str">
        <f>"item_"&amp;CONTROL[[#This Row],[VEHIDCODE]]</f>
        <v>item_mu_Coach_Gen4_Gonian_4D_Concept</v>
      </c>
      <c r="P919" s="26" t="str">
        <f>"str_"&amp;CONTROL[[#This Row],[VEHIDCODE]]</f>
        <v>str_mu_Coach_Gen4_Gonian_4D_Concept</v>
      </c>
      <c r="Q919" s="8" t="b">
        <f>_xlfn.XLOOKUP(CONTROL[[#This Row],[VEHIDCODE]],PROPERTIES[VEHIDCODE],PROPERTIES[IS_CONCEPT])="IS_CONCEPT"</f>
        <v>1</v>
      </c>
      <c r="R919" s="8" t="b">
        <f>_xlfn.XLOOKUP(CONTROL[[#This Row],[VEHIDCODE]],PROPERTIES[VEHIDCODE],PROPERTIES[EXCLUDE])</f>
        <v>0</v>
      </c>
    </row>
    <row r="920" spans="1:18">
      <c r="A920" s="2" t="s">
        <v>1913</v>
      </c>
      <c r="B920" s="26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7" t="s">
        <v>1914</v>
      </c>
      <c r="G920" t="s">
        <v>561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6" t="str">
        <f>"item_"&amp;CONTROL[[#This Row],[VEHIDCODE]]</f>
        <v>item_mu_Coach_Gen4_Gonian_Tangara_Concept</v>
      </c>
      <c r="P920" s="26" t="str">
        <f>"str_"&amp;CONTROL[[#This Row],[VEHIDCODE]]</f>
        <v>str_mu_Coach_Gen4_Gonian_Tangara_Concept</v>
      </c>
      <c r="Q920" s="8" t="b">
        <f>_xlfn.XLOOKUP(CONTROL[[#This Row],[VEHIDCODE]],PROPERTIES[VEHIDCODE],PROPERTIES[IS_CONCEPT])="IS_CONCEPT"</f>
        <v>1</v>
      </c>
      <c r="R920" s="8" t="b">
        <f>_xlfn.XLOOKUP(CONTROL[[#This Row],[VEHIDCODE]],PROPERTIES[VEHIDCODE],PROPERTIES[EXCLUDE])</f>
        <v>0</v>
      </c>
    </row>
    <row r="921" spans="1:18">
      <c r="A921" t="s">
        <v>1915</v>
      </c>
      <c r="B921" s="26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7" t="s">
        <v>1916</v>
      </c>
      <c r="G921" t="s">
        <v>1937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6" t="str">
        <f>"item_"&amp;CONTROL[[#This Row],[VEHIDCODE]]</f>
        <v>item_mu_Coach_Gen3_Hitachi_Nippon_Sharyo_Silver_Star_Coach</v>
      </c>
      <c r="P921" s="26" t="str">
        <f>"str_"&amp;CONTROL[[#This Row],[VEHIDCODE]]</f>
        <v>str_mu_Coach_Gen3_Hitachi_Nippon_Sharyo_Silver_Star_Coach</v>
      </c>
      <c r="Q921" s="8" t="b">
        <f>_xlfn.XLOOKUP(CONTROL[[#This Row],[VEHIDCODE]],PROPERTIES[VEHIDCODE],PROPERTIES[IS_CONCEPT])="IS_CONCEPT"</f>
        <v>0</v>
      </c>
      <c r="R921" s="8" t="b">
        <f>_xlfn.XLOOKUP(CONTROL[[#This Row],[VEHIDCODE]],PROPERTIES[VEHIDCODE],PROPERTIES[EXCLUDE])</f>
        <v>0</v>
      </c>
    </row>
    <row r="922" spans="1:18">
      <c r="A922" t="s">
        <v>1917</v>
      </c>
      <c r="B922" s="26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7" t="s">
        <v>1918</v>
      </c>
      <c r="G922" t="s">
        <v>1937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6" t="str">
        <f>"item_"&amp;CONTROL[[#This Row],[VEHIDCODE]]</f>
        <v>item_mu_Coach_Gen3_Hitachi_Nippon_Sharyo_Silver_Star_Mail_Coach</v>
      </c>
      <c r="P922" s="26" t="str">
        <f>"str_"&amp;CONTROL[[#This Row],[VEHIDCODE]]</f>
        <v>str_mu_Coach_Gen3_Hitachi_Nippon_Sharyo_Silver_Star_Mail_Coach</v>
      </c>
      <c r="Q922" s="8" t="b">
        <f>_xlfn.XLOOKUP(CONTROL[[#This Row],[VEHIDCODE]],PROPERTIES[VEHIDCODE],PROPERTIES[IS_CONCEPT])="IS_CONCEPT"</f>
        <v>0</v>
      </c>
      <c r="R922" s="8" t="b">
        <f>_xlfn.XLOOKUP(CONTROL[[#This Row],[VEHIDCODE]],PROPERTIES[VEHIDCODE],PROPERTIES[EXCLUDE])</f>
        <v>0</v>
      </c>
    </row>
    <row r="923" spans="1:18">
      <c r="A923" t="s">
        <v>1919</v>
      </c>
      <c r="B923" s="26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7" t="s">
        <v>1921</v>
      </c>
      <c r="G923" t="s">
        <v>561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6" t="str">
        <f>"item_"&amp;CONTROL[[#This Row],[VEHIDCODE]]</f>
        <v>item_mu_Coach_Gen3_Comeng_High_Speed_Coach</v>
      </c>
      <c r="P923" s="26" t="str">
        <f>"str_"&amp;CONTROL[[#This Row],[VEHIDCODE]]</f>
        <v>str_mu_Coach_Gen3_Comeng_High_Speed_Coach</v>
      </c>
      <c r="Q923" s="8" t="b">
        <f>_xlfn.XLOOKUP(CONTROL[[#This Row],[VEHIDCODE]],PROPERTIES[VEHIDCODE],PROPERTIES[IS_CONCEPT])="IS_CONCEPT"</f>
        <v>0</v>
      </c>
      <c r="R923" s="8" t="b">
        <f>_xlfn.XLOOKUP(CONTROL[[#This Row],[VEHIDCODE]],PROPERTIES[VEHIDCODE],PROPERTIES[EXCLUDE])</f>
        <v>0</v>
      </c>
    </row>
    <row r="924" spans="1:18">
      <c r="A924" t="s">
        <v>1920</v>
      </c>
      <c r="B924" s="26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7" t="s">
        <v>1922</v>
      </c>
      <c r="G924" t="s">
        <v>561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6" t="str">
        <f>"item_"&amp;CONTROL[[#This Row],[VEHIDCODE]]</f>
        <v>item_mu_Coach_Gen3_Comeng_High_Speed_Mail_Coach</v>
      </c>
      <c r="P924" s="26" t="str">
        <f>"str_"&amp;CONTROL[[#This Row],[VEHIDCODE]]</f>
        <v>str_mu_Coach_Gen3_Comeng_High_Speed_Mail_Coach</v>
      </c>
      <c r="Q924" s="8" t="b">
        <f>_xlfn.XLOOKUP(CONTROL[[#This Row],[VEHIDCODE]],PROPERTIES[VEHIDCODE],PROPERTIES[IS_CONCEPT])="IS_CONCEPT"</f>
        <v>0</v>
      </c>
      <c r="R924" s="8" t="b">
        <f>_xlfn.XLOOKUP(CONTROL[[#This Row],[VEHIDCODE]],PROPERTIES[VEHIDCODE],PROPERTIES[EXCLUDE])</f>
        <v>0</v>
      </c>
    </row>
    <row r="925" spans="1:18">
      <c r="A925" t="s">
        <v>1924</v>
      </c>
      <c r="B925" s="26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7" t="s">
        <v>1923</v>
      </c>
      <c r="G925" t="s">
        <v>561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6" t="str">
        <f>"item_"&amp;CONTROL[[#This Row],[VEHIDCODE]]</f>
        <v>item_mu_Coach_Gen4_Comeng_HType_Suburban_Coach</v>
      </c>
      <c r="P925" s="26" t="str">
        <f>"str_"&amp;CONTROL[[#This Row],[VEHIDCODE]]</f>
        <v>str_mu_Coach_Gen4_Comeng_HType_Suburban_Coach</v>
      </c>
      <c r="Q925" s="8" t="b">
        <f>_xlfn.XLOOKUP(CONTROL[[#This Row],[VEHIDCODE]],PROPERTIES[VEHIDCODE],PROPERTIES[IS_CONCEPT])="IS_CONCEPT"</f>
        <v>0</v>
      </c>
      <c r="R925" s="8" t="b">
        <f>_xlfn.XLOOKUP(CONTROL[[#This Row],[VEHIDCODE]],PROPERTIES[VEHIDCODE],PROPERTIES[EXCLUDE])</f>
        <v>0</v>
      </c>
    </row>
    <row r="926" spans="1:18">
      <c r="A926" t="s">
        <v>1926</v>
      </c>
      <c r="B926" s="26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7" t="s">
        <v>1925</v>
      </c>
      <c r="G926" t="s">
        <v>1894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6" t="str">
        <f>"item_"&amp;CONTROL[[#This Row],[VEHIDCODE]]</f>
        <v>item_mu_Coach_Gen3_NSW_Tulloch_RUB_Stock_Coach</v>
      </c>
      <c r="P926" s="26" t="str">
        <f>"str_"&amp;CONTROL[[#This Row],[VEHIDCODE]]</f>
        <v>str_mu_Coach_Gen3_NSW_Tulloch_RUB_Stock_Coach</v>
      </c>
      <c r="Q926" s="8" t="b">
        <f>_xlfn.XLOOKUP(CONTROL[[#This Row],[VEHIDCODE]],PROPERTIES[VEHIDCODE],PROPERTIES[IS_CONCEPT])="IS_CONCEPT"</f>
        <v>0</v>
      </c>
      <c r="R926" s="8" t="b">
        <f>_xlfn.XLOOKUP(CONTROL[[#This Row],[VEHIDCODE]],PROPERTIES[VEHIDCODE],PROPERTIES[EXCLUDE])</f>
        <v>0</v>
      </c>
    </row>
    <row r="927" spans="1:18">
      <c r="A927" t="s">
        <v>1927</v>
      </c>
      <c r="B927" s="26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7" t="s">
        <v>1928</v>
      </c>
      <c r="G927" t="s">
        <v>1894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6" t="str">
        <f>"item_"&amp;CONTROL[[#This Row],[VEHIDCODE]]</f>
        <v>item_mu_Coach_Gen3_NSW_Tulloch_RUB_Stock_Mail_Coach</v>
      </c>
      <c r="P927" s="26" t="str">
        <f>"str_"&amp;CONTROL[[#This Row],[VEHIDCODE]]</f>
        <v>str_mu_Coach_Gen3_NSW_Tulloch_RUB_Stock_Mail_Coach</v>
      </c>
      <c r="Q927" s="8" t="b">
        <f>_xlfn.XLOOKUP(CONTROL[[#This Row],[VEHIDCODE]],PROPERTIES[VEHIDCODE],PROPERTIES[IS_CONCEPT])="IS_CONCEPT"</f>
        <v>0</v>
      </c>
      <c r="R927" s="8" t="b">
        <f>_xlfn.XLOOKUP(CONTROL[[#This Row],[VEHIDCODE]],PROPERTIES[VEHIDCODE],PROPERTIES[EXCLUDE])</f>
        <v>0</v>
      </c>
    </row>
    <row r="928" spans="1:18">
      <c r="A928" t="s">
        <v>1929</v>
      </c>
      <c r="B928" s="26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7" t="s">
        <v>1930</v>
      </c>
      <c r="G928" t="s">
        <v>1935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6" t="str">
        <f>"item_"&amp;CONTROL[[#This Row],[VEHIDCODE]]</f>
        <v>item_mu_Coach_Gen3_WAGR_AY_Suburban_Coach</v>
      </c>
      <c r="P928" s="26" t="str">
        <f>"str_"&amp;CONTROL[[#This Row],[VEHIDCODE]]</f>
        <v>str_mu_Coach_Gen3_WAGR_AY_Suburban_Coach</v>
      </c>
      <c r="Q928" s="8" t="b">
        <f>_xlfn.XLOOKUP(CONTROL[[#This Row],[VEHIDCODE]],PROPERTIES[VEHIDCODE],PROPERTIES[IS_CONCEPT])="IS_CONCEPT"</f>
        <v>0</v>
      </c>
      <c r="R928" s="8" t="b">
        <f>_xlfn.XLOOKUP(CONTROL[[#This Row],[VEHIDCODE]],PROPERTIES[VEHIDCODE],PROPERTIES[EXCLUDE])</f>
        <v>0</v>
      </c>
    </row>
    <row r="929" spans="1:18">
      <c r="A929" t="s">
        <v>1931</v>
      </c>
      <c r="B929" s="26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7" t="s">
        <v>1933</v>
      </c>
      <c r="G929" t="s">
        <v>1936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6" t="str">
        <f>"item_"&amp;CONTROL[[#This Row],[VEHIDCODE]]</f>
        <v>item_mu_Coach_Gen3_NZR_56ft_Coach</v>
      </c>
      <c r="P929" s="26" t="str">
        <f>"str_"&amp;CONTROL[[#This Row],[VEHIDCODE]]</f>
        <v>str_mu_Coach_Gen3_NZR_56ft_Coach</v>
      </c>
      <c r="Q929" s="8" t="b">
        <f>_xlfn.XLOOKUP(CONTROL[[#This Row],[VEHIDCODE]],PROPERTIES[VEHIDCODE],PROPERTIES[IS_CONCEPT])="IS_CONCEPT"</f>
        <v>0</v>
      </c>
      <c r="R929" s="8" t="b">
        <f>_xlfn.XLOOKUP(CONTROL[[#This Row],[VEHIDCODE]],PROPERTIES[VEHIDCODE],PROPERTIES[EXCLUDE])</f>
        <v>0</v>
      </c>
    </row>
    <row r="930" spans="1:18">
      <c r="A930" t="s">
        <v>1932</v>
      </c>
      <c r="B930" s="26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7" t="s">
        <v>1934</v>
      </c>
      <c r="G930" t="s">
        <v>1936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6" t="str">
        <f>"item_"&amp;CONTROL[[#This Row],[VEHIDCODE]]</f>
        <v>item_mu_Coach_Gen3_NZR_56ft_Mail_Coach</v>
      </c>
      <c r="P930" s="26" t="str">
        <f>"str_"&amp;CONTROL[[#This Row],[VEHIDCODE]]</f>
        <v>str_mu_Coach_Gen3_NZR_56ft_Mail_Coach</v>
      </c>
      <c r="Q930" s="8" t="b">
        <f>_xlfn.XLOOKUP(CONTROL[[#This Row],[VEHIDCODE]],PROPERTIES[VEHIDCODE],PROPERTIES[IS_CONCEPT])="IS_CONCEPT"</f>
        <v>0</v>
      </c>
      <c r="R930" s="8" t="b">
        <f>_xlfn.XLOOKUP(CONTROL[[#This Row],[VEHIDCODE]],PROPERTIES[VEHIDCODE],PROPERTIES[EXCLUDE])</f>
        <v>0</v>
      </c>
    </row>
    <row r="931" spans="1:18">
      <c r="A931" s="2" t="s">
        <v>1940</v>
      </c>
      <c r="B931" s="26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7" t="s">
        <v>1938</v>
      </c>
      <c r="G931" t="s">
        <v>1939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6" t="str">
        <f>"item_"&amp;CONTROL[[#This Row],[VEHIDCODE]]</f>
        <v>item_mu_Coach_Gen2_NZR_50ft_Coach</v>
      </c>
      <c r="P931" s="26" t="str">
        <f>"str_"&amp;CONTROL[[#This Row],[VEHIDCODE]]</f>
        <v>str_mu_Coach_Gen2_NZR_50ft_Coach</v>
      </c>
      <c r="Q931" s="8" t="b">
        <f>_xlfn.XLOOKUP(CONTROL[[#This Row],[VEHIDCODE]],PROPERTIES[VEHIDCODE],PROPERTIES[IS_CONCEPT])="IS_CONCEPT"</f>
        <v>0</v>
      </c>
      <c r="R931" s="8" t="b">
        <f>_xlfn.XLOOKUP(CONTROL[[#This Row],[VEHIDCODE]],PROPERTIES[VEHIDCODE],PROPERTIES[EXCLUDE])</f>
        <v>0</v>
      </c>
    </row>
    <row r="932" spans="1:18">
      <c r="A932" s="2" t="s">
        <v>1941</v>
      </c>
      <c r="B932" s="26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7" t="s">
        <v>1942</v>
      </c>
      <c r="G932" t="s">
        <v>1939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6" t="str">
        <f>"item_"&amp;CONTROL[[#This Row],[VEHIDCODE]]</f>
        <v>item_mu_Coach_Gen2_NZR_50ft_Mail_Coach</v>
      </c>
      <c r="P932" s="26" t="str">
        <f>"str_"&amp;CONTROL[[#This Row],[VEHIDCODE]]</f>
        <v>str_mu_Coach_Gen2_NZR_50ft_Mail_Coach</v>
      </c>
      <c r="Q932" s="8" t="b">
        <f>_xlfn.XLOOKUP(CONTROL[[#This Row],[VEHIDCODE]],PROPERTIES[VEHIDCODE],PROPERTIES[IS_CONCEPT])="IS_CONCEPT"</f>
        <v>0</v>
      </c>
      <c r="R932" s="8" t="b">
        <f>_xlfn.XLOOKUP(CONTROL[[#This Row],[VEHIDCODE]],PROPERTIES[VEHIDCODE],PROPERTIES[EXCLUDE])</f>
        <v>0</v>
      </c>
    </row>
    <row r="933" spans="1:18">
      <c r="A933" t="s">
        <v>1943</v>
      </c>
      <c r="B933" s="26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7" t="s">
        <v>1944</v>
      </c>
      <c r="G933" t="s">
        <v>1945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6" t="str">
        <f>"item_"&amp;CONTROL[[#This Row],[VEHIDCODE]]</f>
        <v>item_mu_Coach_Gen1_NSW_KA_Tram_Car</v>
      </c>
      <c r="P933" s="26" t="str">
        <f>"str_"&amp;CONTROL[[#This Row],[VEHIDCODE]]</f>
        <v>str_mu_Coach_Gen1_NSW_KA_Tram_Car</v>
      </c>
      <c r="Q933" s="8" t="b">
        <f>_xlfn.XLOOKUP(CONTROL[[#This Row],[VEHIDCODE]],PROPERTIES[VEHIDCODE],PROPERTIES[IS_CONCEPT])="IS_CONCEPT"</f>
        <v>0</v>
      </c>
      <c r="R933" s="8" t="b">
        <f>_xlfn.XLOOKUP(CONTROL[[#This Row],[VEHIDCODE]],PROPERTIES[VEHIDCODE],PROPERTIES[EXCLUDE])</f>
        <v>0</v>
      </c>
    </row>
    <row r="934" spans="1:18">
      <c r="A934" t="s">
        <v>3448</v>
      </c>
      <c r="B934" s="26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7" t="s">
        <v>2591</v>
      </c>
      <c r="G934" s="39" t="s">
        <v>1946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6" t="str">
        <f>"item_"&amp;CONTROL[[#This Row],[VEHIDCODE]]</f>
        <v>item_electric_Comeng_86_Class</v>
      </c>
      <c r="P934" s="26" t="str">
        <f>"str_"&amp;CONTROL[[#This Row],[VEHIDCODE]]</f>
        <v>str_electric_Comeng_86_Class</v>
      </c>
      <c r="Q934" s="8" t="b">
        <f>_xlfn.XLOOKUP(CONTROL[[#This Row],[VEHIDCODE]],PROPERTIES[VEHIDCODE],PROPERTIES[IS_CONCEPT])="IS_CONCEPT"</f>
        <v>0</v>
      </c>
      <c r="R934" s="8" t="b">
        <f>_xlfn.XLOOKUP(CONTROL[[#This Row],[VEHIDCODE]],PROPERTIES[VEHIDCODE],PROPERTIES[EXCLUDE])</f>
        <v>0</v>
      </c>
    </row>
    <row r="935" spans="1:18">
      <c r="A935" t="s">
        <v>3320</v>
      </c>
      <c r="B935" s="26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7" t="s">
        <v>2500</v>
      </c>
      <c r="G935" t="s">
        <v>1629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6" t="str">
        <f>"item_"&amp;CONTROL[[#This Row],[VEHIDCODE]]</f>
        <v>item_emu_Ganz_MAVAG_EM_ET</v>
      </c>
      <c r="P935" s="26" t="str">
        <f>"str_"&amp;CONTROL[[#This Row],[VEHIDCODE]]</f>
        <v>str_emu_Ganz_MAVAG_EM_ET</v>
      </c>
      <c r="Q935" s="8" t="b">
        <f>_xlfn.XLOOKUP(CONTROL[[#This Row],[VEHIDCODE]],PROPERTIES[VEHIDCODE],PROPERTIES[IS_CONCEPT])="IS_CONCEPT"</f>
        <v>0</v>
      </c>
      <c r="R935" s="8" t="b">
        <f>_xlfn.XLOOKUP(CONTROL[[#This Row],[VEHIDCODE]],PROPERTIES[VEHIDCODE],PROPERTIES[EXCLUDE])</f>
        <v>0</v>
      </c>
    </row>
    <row r="936" spans="1:18">
      <c r="A936" t="s">
        <v>3449</v>
      </c>
      <c r="B936" s="26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7" t="s">
        <v>2592</v>
      </c>
      <c r="G936" t="s">
        <v>1947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6" t="str">
        <f>"item_"&amp;CONTROL[[#This Row],[VEHIDCODE]]</f>
        <v>item_emu_EEC_DM_EMU</v>
      </c>
      <c r="P936" s="26" t="str">
        <f>"str_"&amp;CONTROL[[#This Row],[VEHIDCODE]]</f>
        <v>str_emu_EEC_DM_EMU</v>
      </c>
      <c r="Q936" s="8" t="b">
        <f>_xlfn.XLOOKUP(CONTROL[[#This Row],[VEHIDCODE]],PROPERTIES[VEHIDCODE],PROPERTIES[IS_CONCEPT])="IS_CONCEPT"</f>
        <v>0</v>
      </c>
      <c r="R936" s="8" t="b">
        <f>_xlfn.XLOOKUP(CONTROL[[#This Row],[VEHIDCODE]],PROPERTIES[VEHIDCODE],PROPERTIES[EXCLUDE])</f>
        <v>0</v>
      </c>
    </row>
    <row r="937" spans="1:18">
      <c r="A937" t="s">
        <v>3450</v>
      </c>
      <c r="B937" s="26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7" t="s">
        <v>3613</v>
      </c>
      <c r="G937" t="s">
        <v>1948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6" t="str">
        <f>"item_"&amp;CONTROL[[#This Row],[VEHIDCODE]]</f>
        <v>item_emu_Hyundai_Rotem__Mitsui_Matangi</v>
      </c>
      <c r="P937" s="26" t="str">
        <f>"str_"&amp;CONTROL[[#This Row],[VEHIDCODE]]</f>
        <v>str_emu_Hyundai_Rotem__Mitsui_Matangi</v>
      </c>
      <c r="Q937" s="8" t="b">
        <f>_xlfn.XLOOKUP(CONTROL[[#This Row],[VEHIDCODE]],PROPERTIES[VEHIDCODE],PROPERTIES[IS_CONCEPT])="IS_CONCEPT"</f>
        <v>0</v>
      </c>
      <c r="R937" s="8" t="b">
        <f>_xlfn.XLOOKUP(CONTROL[[#This Row],[VEHIDCODE]],PROPERTIES[VEHIDCODE],PROPERTIES[EXCLUDE])</f>
        <v>0</v>
      </c>
    </row>
    <row r="938" spans="1:18">
      <c r="A938" t="s">
        <v>3451</v>
      </c>
      <c r="B938" s="26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7" t="s">
        <v>2651</v>
      </c>
      <c r="G938" t="s">
        <v>1950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6" t="str">
        <f>"item_"&amp;CONTROL[[#This Row],[VEHIDCODE]]</f>
        <v>item_mtro_Ganz_Hunslet_Budapest_G2</v>
      </c>
      <c r="P938" s="26" t="str">
        <f>"str_"&amp;CONTROL[[#This Row],[VEHIDCODE]]</f>
        <v>str_mtro_Ganz_Hunslet_Budapest_G2</v>
      </c>
      <c r="Q938" s="8" t="b">
        <f>_xlfn.XLOOKUP(CONTROL[[#This Row],[VEHIDCODE]],PROPERTIES[VEHIDCODE],PROPERTIES[IS_CONCEPT])="IS_CONCEPT"</f>
        <v>0</v>
      </c>
      <c r="R938" s="8" t="b">
        <f>_xlfn.XLOOKUP(CONTROL[[#This Row],[VEHIDCODE]],PROPERTIES[VEHIDCODE],PROPERTIES[EXCLUDE])</f>
        <v>0</v>
      </c>
    </row>
    <row r="939" spans="1:18">
      <c r="A939" s="2" t="s">
        <v>3452</v>
      </c>
      <c r="B939" s="26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7" t="s">
        <v>2593</v>
      </c>
      <c r="G939" t="s">
        <v>1951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6" t="str">
        <f>"item_"&amp;CONTROL[[#This Row],[VEHIDCODE]]</f>
        <v>item_diesel_BRC_W_NSU_Class</v>
      </c>
      <c r="P939" s="26" t="str">
        <f>"str_"&amp;CONTROL[[#This Row],[VEHIDCODE]]</f>
        <v>str_diesel_BRC_W_NSU_Class</v>
      </c>
      <c r="Q939" s="8" t="b">
        <f>_xlfn.XLOOKUP(CONTROL[[#This Row],[VEHIDCODE]],PROPERTIES[VEHIDCODE],PROPERTIES[IS_CONCEPT])="IS_CONCEPT"</f>
        <v>0</v>
      </c>
      <c r="R939" s="8" t="b">
        <f>_xlfn.XLOOKUP(CONTROL[[#This Row],[VEHIDCODE]],PROPERTIES[VEHIDCODE],PROPERTIES[EXCLUDE])</f>
        <v>0</v>
      </c>
    </row>
    <row r="940" spans="1:18">
      <c r="A940" t="s">
        <v>3453</v>
      </c>
      <c r="B940" s="26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7" t="s">
        <v>2594</v>
      </c>
      <c r="G940" t="s">
        <v>1955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6" t="str">
        <f>"item_"&amp;CONTROL[[#This Row],[VEHIDCODE]]</f>
        <v>item_emu_Itochu_Kinki_Kawasaki_SP1900</v>
      </c>
      <c r="P940" s="26" t="str">
        <f>"str_"&amp;CONTROL[[#This Row],[VEHIDCODE]]</f>
        <v>str_emu_Itochu_Kinki_Kawasaki_SP1900</v>
      </c>
      <c r="Q940" s="8" t="b">
        <f>_xlfn.XLOOKUP(CONTROL[[#This Row],[VEHIDCODE]],PROPERTIES[VEHIDCODE],PROPERTIES[IS_CONCEPT])="IS_CONCEPT"</f>
        <v>0</v>
      </c>
      <c r="R940" s="8" t="b">
        <f>_xlfn.XLOOKUP(CONTROL[[#This Row],[VEHIDCODE]],PROPERTIES[VEHIDCODE],PROPERTIES[EXCLUDE])</f>
        <v>0</v>
      </c>
    </row>
    <row r="941" spans="1:18">
      <c r="A941" t="s">
        <v>3454</v>
      </c>
      <c r="B941" s="26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7" t="s">
        <v>2595</v>
      </c>
      <c r="G941" t="s">
        <v>1956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6" t="str">
        <f>"item_"&amp;CONTROL[[#This Row],[VEHIDCODE]]</f>
        <v>item_electric_Alstom_CRRC_Datong_HXD2</v>
      </c>
      <c r="P941" s="26" t="str">
        <f>"str_"&amp;CONTROL[[#This Row],[VEHIDCODE]]</f>
        <v>str_electric_Alstom_CRRC_Datong_HXD2</v>
      </c>
      <c r="Q941" s="8" t="b">
        <f>_xlfn.XLOOKUP(CONTROL[[#This Row],[VEHIDCODE]],PROPERTIES[VEHIDCODE],PROPERTIES[IS_CONCEPT])="IS_CONCEPT"</f>
        <v>0</v>
      </c>
      <c r="R941" s="8" t="b">
        <f>_xlfn.XLOOKUP(CONTROL[[#This Row],[VEHIDCODE]],PROPERTIES[VEHIDCODE],PROPERTIES[EXCLUDE])</f>
        <v>0</v>
      </c>
    </row>
    <row r="942" spans="1:18">
      <c r="A942" t="s">
        <v>3455</v>
      </c>
      <c r="B942" s="26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7" t="s">
        <v>2596</v>
      </c>
      <c r="G942" t="s">
        <v>1957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6" t="str">
        <f>"item_"&amp;CONTROL[[#This Row],[VEHIDCODE]]</f>
        <v>item_diesel_CRRC_Qishuyan_DF11</v>
      </c>
      <c r="P942" s="26" t="str">
        <f>"str_"&amp;CONTROL[[#This Row],[VEHIDCODE]]</f>
        <v>str_diesel_CRRC_Qishuyan_DF11</v>
      </c>
      <c r="Q942" s="8" t="b">
        <f>_xlfn.XLOOKUP(CONTROL[[#This Row],[VEHIDCODE]],PROPERTIES[VEHIDCODE],PROPERTIES[IS_CONCEPT])="IS_CONCEPT"</f>
        <v>0</v>
      </c>
      <c r="R942" s="8" t="b">
        <f>_xlfn.XLOOKUP(CONTROL[[#This Row],[VEHIDCODE]],PROPERTIES[VEHIDCODE],PROPERTIES[EXCLUDE])</f>
        <v>0</v>
      </c>
    </row>
    <row r="943" spans="1:18">
      <c r="A943" s="2" t="s">
        <v>3456</v>
      </c>
      <c r="B943" s="26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7" t="s">
        <v>2597</v>
      </c>
      <c r="G943" t="s">
        <v>1958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6" t="str">
        <f>"item_"&amp;CONTROL[[#This Row],[VEHIDCODE]]</f>
        <v>item_electric_Zhuzhou_SS8</v>
      </c>
      <c r="P943" s="26" t="str">
        <f>"str_"&amp;CONTROL[[#This Row],[VEHIDCODE]]</f>
        <v>str_electric_Zhuzhou_SS8</v>
      </c>
      <c r="Q943" s="8" t="b">
        <f>_xlfn.XLOOKUP(CONTROL[[#This Row],[VEHIDCODE]],PROPERTIES[VEHIDCODE],PROPERTIES[IS_CONCEPT])="IS_CONCEPT"</f>
        <v>0</v>
      </c>
      <c r="R943" s="8" t="b">
        <f>_xlfn.XLOOKUP(CONTROL[[#This Row],[VEHIDCODE]],PROPERTIES[VEHIDCODE],PROPERTIES[EXCLUDE])</f>
        <v>0</v>
      </c>
    </row>
    <row r="944" spans="1:18">
      <c r="A944" t="s">
        <v>3457</v>
      </c>
      <c r="B944" s="26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7" t="s">
        <v>2598</v>
      </c>
      <c r="G944" t="s">
        <v>1959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6" t="str">
        <f>"item_"&amp;CONTROL[[#This Row],[VEHIDCODE]]</f>
        <v>item_electric_Alstom_CRRC_Datong_HXD2B</v>
      </c>
      <c r="P944" s="26" t="str">
        <f>"str_"&amp;CONTROL[[#This Row],[VEHIDCODE]]</f>
        <v>str_electric_Alstom_CRRC_Datong_HXD2B</v>
      </c>
      <c r="Q944" s="8" t="b">
        <f>_xlfn.XLOOKUP(CONTROL[[#This Row],[VEHIDCODE]],PROPERTIES[VEHIDCODE],PROPERTIES[IS_CONCEPT])="IS_CONCEPT"</f>
        <v>0</v>
      </c>
      <c r="R944" s="8" t="b">
        <f>_xlfn.XLOOKUP(CONTROL[[#This Row],[VEHIDCODE]],PROPERTIES[VEHIDCODE],PROPERTIES[EXCLUDE])</f>
        <v>0</v>
      </c>
    </row>
    <row r="945" spans="1:18">
      <c r="A945" t="s">
        <v>3458</v>
      </c>
      <c r="B945" s="26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7" t="s">
        <v>2647</v>
      </c>
      <c r="G945" t="s">
        <v>1960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6" t="str">
        <f>"item_"&amp;CONTROL[[#This Row],[VEHIDCODE]]</f>
        <v>item_electric_CRRC_Dalian_HXD3D</v>
      </c>
      <c r="P945" s="26" t="str">
        <f>"str_"&amp;CONTROL[[#This Row],[VEHIDCODE]]</f>
        <v>str_electric_CRRC_Dalian_HXD3D</v>
      </c>
      <c r="Q945" s="8" t="b">
        <f>_xlfn.XLOOKUP(CONTROL[[#This Row],[VEHIDCODE]],PROPERTIES[VEHIDCODE],PROPERTIES[IS_CONCEPT])="IS_CONCEPT"</f>
        <v>0</v>
      </c>
      <c r="R945" s="8" t="b">
        <f>_xlfn.XLOOKUP(CONTROL[[#This Row],[VEHIDCODE]],PROPERTIES[VEHIDCODE],PROPERTIES[EXCLUDE])</f>
        <v>0</v>
      </c>
    </row>
    <row r="946" spans="1:18">
      <c r="A946" t="s">
        <v>3459</v>
      </c>
      <c r="B946" s="26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7" t="s">
        <v>2599</v>
      </c>
      <c r="G946" t="s">
        <v>1961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6" t="str">
        <f>"item_"&amp;CONTROL[[#This Row],[VEHIDCODE]]</f>
        <v>item_diesel_CRRC_Dalian_DF4</v>
      </c>
      <c r="P946" s="26" t="str">
        <f>"str_"&amp;CONTROL[[#This Row],[VEHIDCODE]]</f>
        <v>str_diesel_CRRC_Dalian_DF4</v>
      </c>
      <c r="Q946" s="8" t="b">
        <f>_xlfn.XLOOKUP(CONTROL[[#This Row],[VEHIDCODE]],PROPERTIES[VEHIDCODE],PROPERTIES[IS_CONCEPT])="IS_CONCEPT"</f>
        <v>0</v>
      </c>
      <c r="R946" s="8" t="b">
        <f>_xlfn.XLOOKUP(CONTROL[[#This Row],[VEHIDCODE]],PROPERTIES[VEHIDCODE],PROPERTIES[EXCLUDE])</f>
        <v>0</v>
      </c>
    </row>
    <row r="947" spans="1:18">
      <c r="A947" t="s">
        <v>3460</v>
      </c>
      <c r="B947" s="26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7" t="s">
        <v>2600</v>
      </c>
      <c r="G947" s="39" t="s">
        <v>1962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6" t="str">
        <f>"item_"&amp;CONTROL[[#This Row],[VEHIDCODE]]</f>
        <v>item_diesel_Tangshan_Dalian_Sifang_DF5</v>
      </c>
      <c r="P947" s="26" t="str">
        <f>"str_"&amp;CONTROL[[#This Row],[VEHIDCODE]]</f>
        <v>str_diesel_Tangshan_Dalian_Sifang_DF5</v>
      </c>
      <c r="Q947" s="8" t="b">
        <f>_xlfn.XLOOKUP(CONTROL[[#This Row],[VEHIDCODE]],PROPERTIES[VEHIDCODE],PROPERTIES[IS_CONCEPT])="IS_CONCEPT"</f>
        <v>0</v>
      </c>
      <c r="R947" s="8" t="b">
        <f>_xlfn.XLOOKUP(CONTROL[[#This Row],[VEHIDCODE]],PROPERTIES[VEHIDCODE],PROPERTIES[EXCLUDE])</f>
        <v>0</v>
      </c>
    </row>
    <row r="948" spans="1:18">
      <c r="A948" t="s">
        <v>3461</v>
      </c>
      <c r="B948" s="26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7" t="s">
        <v>2601</v>
      </c>
      <c r="G948" t="s">
        <v>1963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6" t="str">
        <f>"item_"&amp;CONTROL[[#This Row],[VEHIDCODE]]</f>
        <v>item_steam_Dalian_2_8_2_JS_Class</v>
      </c>
      <c r="P948" s="26" t="str">
        <f>"str_"&amp;CONTROL[[#This Row],[VEHIDCODE]]</f>
        <v>str_steam_Dalian_2_8_2_JS_Class</v>
      </c>
      <c r="Q948" s="8" t="b">
        <f>_xlfn.XLOOKUP(CONTROL[[#This Row],[VEHIDCODE]],PROPERTIES[VEHIDCODE],PROPERTIES[IS_CONCEPT])="IS_CONCEPT"</f>
        <v>0</v>
      </c>
      <c r="R948" s="8" t="b">
        <f>_xlfn.XLOOKUP(CONTROL[[#This Row],[VEHIDCODE]],PROPERTIES[VEHIDCODE],PROPERTIES[EXCLUDE])</f>
        <v>0</v>
      </c>
    </row>
    <row r="949" spans="1:18">
      <c r="A949" t="s">
        <v>3462</v>
      </c>
      <c r="B949" s="26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7" t="s">
        <v>2643</v>
      </c>
      <c r="G949" t="s">
        <v>1964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6" t="str">
        <f>"item_"&amp;CONTROL[[#This Row],[VEHIDCODE]]</f>
        <v>item_steam_CSR_Sifang_4_6_2_RM</v>
      </c>
      <c r="P949" s="26" t="str">
        <f>"str_"&amp;CONTROL[[#This Row],[VEHIDCODE]]</f>
        <v>str_steam_CSR_Sifang_4_6_2_RM</v>
      </c>
      <c r="Q949" s="8" t="b">
        <f>_xlfn.XLOOKUP(CONTROL[[#This Row],[VEHIDCODE]],PROPERTIES[VEHIDCODE],PROPERTIES[IS_CONCEPT])="IS_CONCEPT"</f>
        <v>0</v>
      </c>
      <c r="R949" s="8" t="b">
        <f>_xlfn.XLOOKUP(CONTROL[[#This Row],[VEHIDCODE]],PROPERTIES[VEHIDCODE],PROPERTIES[EXCLUDE])</f>
        <v>0</v>
      </c>
    </row>
    <row r="950" spans="1:18">
      <c r="A950" t="s">
        <v>3463</v>
      </c>
      <c r="B950" s="26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7" t="s">
        <v>1965</v>
      </c>
      <c r="G950" t="s">
        <v>1966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6" t="str">
        <f>"item_"&amp;CONTROL[[#This Row],[VEHIDCODE]]</f>
        <v>item_rbd_MAV_Ikarus_260</v>
      </c>
      <c r="P950" s="26" t="str">
        <f>"str_"&amp;CONTROL[[#This Row],[VEHIDCODE]]</f>
        <v>str_rbd_MAV_Ikarus_260</v>
      </c>
      <c r="Q950" s="8" t="b">
        <f>_xlfn.XLOOKUP(CONTROL[[#This Row],[VEHIDCODE]],PROPERTIES[VEHIDCODE],PROPERTIES[IS_CONCEPT])="IS_CONCEPT"</f>
        <v>0</v>
      </c>
      <c r="R950" s="8" t="b">
        <f>_xlfn.XLOOKUP(CONTROL[[#This Row],[VEHIDCODE]],PROPERTIES[VEHIDCODE],PROPERTIES[EXCLUDE])</f>
        <v>0</v>
      </c>
    </row>
    <row r="951" spans="1:18">
      <c r="A951" s="2" t="s">
        <v>3464</v>
      </c>
      <c r="B951" s="26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7" t="s">
        <v>2101</v>
      </c>
      <c r="G951" t="s">
        <v>1360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6" t="str">
        <f>"item_"&amp;CONTROL[[#This Row],[VEHIDCODE]]</f>
        <v>item_diesel_GE_ES43ACi</v>
      </c>
      <c r="P951" s="26" t="str">
        <f>"str_"&amp;CONTROL[[#This Row],[VEHIDCODE]]</f>
        <v>str_diesel_GE_ES43ACi</v>
      </c>
      <c r="Q951" s="8" t="b">
        <f>_xlfn.XLOOKUP(CONTROL[[#This Row],[VEHIDCODE]],PROPERTIES[VEHIDCODE],PROPERTIES[IS_CONCEPT])="IS_CONCEPT"</f>
        <v>0</v>
      </c>
      <c r="R951" s="8" t="b">
        <f>_xlfn.XLOOKUP(CONTROL[[#This Row],[VEHIDCODE]],PROPERTIES[VEHIDCODE],PROPERTIES[EXCLUDE])</f>
        <v>0</v>
      </c>
    </row>
    <row r="952" spans="1:18">
      <c r="A952" t="s">
        <v>3465</v>
      </c>
      <c r="B952" s="26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7" t="s">
        <v>1973</v>
      </c>
      <c r="G952" t="s">
        <v>1968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6" t="str">
        <f>"item_"&amp;CONTROL[[#This Row],[VEHIDCODE]]</f>
        <v>item_diesel_EMD_GP40</v>
      </c>
      <c r="P952" s="26" t="str">
        <f>"str_"&amp;CONTROL[[#This Row],[VEHIDCODE]]</f>
        <v>str_diesel_EMD_GP40</v>
      </c>
      <c r="Q952" s="8" t="b">
        <f>_xlfn.XLOOKUP(CONTROL[[#This Row],[VEHIDCODE]],PROPERTIES[VEHIDCODE],PROPERTIES[IS_CONCEPT])="IS_CONCEPT"</f>
        <v>0</v>
      </c>
      <c r="R952" s="8" t="b">
        <f>_xlfn.XLOOKUP(CONTROL[[#This Row],[VEHIDCODE]],PROPERTIES[VEHIDCODE],PROPERTIES[EXCLUDE])</f>
        <v>0</v>
      </c>
    </row>
    <row r="953" spans="1:18">
      <c r="A953" t="s">
        <v>3466</v>
      </c>
      <c r="B953" s="26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7" t="s">
        <v>1969</v>
      </c>
      <c r="G953" t="s">
        <v>1329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6" t="str">
        <f>"item_"&amp;CONTROL[[#This Row],[VEHIDCODE]]</f>
        <v>item_diesel_EMD_SD70</v>
      </c>
      <c r="P953" s="26" t="str">
        <f>"str_"&amp;CONTROL[[#This Row],[VEHIDCODE]]</f>
        <v>str_diesel_EMD_SD70</v>
      </c>
      <c r="Q953" s="8" t="b">
        <f>_xlfn.XLOOKUP(CONTROL[[#This Row],[VEHIDCODE]],PROPERTIES[VEHIDCODE],PROPERTIES[IS_CONCEPT])="IS_CONCEPT"</f>
        <v>0</v>
      </c>
      <c r="R953" s="8" t="b">
        <f>_xlfn.XLOOKUP(CONTROL[[#This Row],[VEHIDCODE]],PROPERTIES[VEHIDCODE],PROPERTIES[EXCLUDE])</f>
        <v>0</v>
      </c>
    </row>
    <row r="954" spans="1:18">
      <c r="A954" s="2" t="s">
        <v>3467</v>
      </c>
      <c r="B954" s="26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7" t="s">
        <v>2043</v>
      </c>
      <c r="G954" t="s">
        <v>1970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6" t="str">
        <f>"item_"&amp;CONTROL[[#This Row],[VEHIDCODE]]</f>
        <v>item_diesel_GE_C30_7_Dash_7</v>
      </c>
      <c r="P954" s="26" t="str">
        <f>"str_"&amp;CONTROL[[#This Row],[VEHIDCODE]]</f>
        <v>str_diesel_GE_C30_7_Dash_7</v>
      </c>
      <c r="Q954" s="8" t="b">
        <f>_xlfn.XLOOKUP(CONTROL[[#This Row],[VEHIDCODE]],PROPERTIES[VEHIDCODE],PROPERTIES[IS_CONCEPT])="IS_CONCEPT"</f>
        <v>0</v>
      </c>
      <c r="R954" s="8" t="b">
        <f>_xlfn.XLOOKUP(CONTROL[[#This Row],[VEHIDCODE]],PROPERTIES[VEHIDCODE],PROPERTIES[EXCLUDE])</f>
        <v>0</v>
      </c>
    </row>
    <row r="955" spans="1:18">
      <c r="A955" s="2" t="s">
        <v>3468</v>
      </c>
      <c r="B955" s="26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7" t="s">
        <v>2602</v>
      </c>
      <c r="G955" t="s">
        <v>1971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6" t="str">
        <f>"item_"&amp;CONTROL[[#This Row],[VEHIDCODE]]</f>
        <v>item_diesel_GE_C40_8_Dash_8</v>
      </c>
      <c r="P955" s="26" t="str">
        <f>"str_"&amp;CONTROL[[#This Row],[VEHIDCODE]]</f>
        <v>str_diesel_GE_C40_8_Dash_8</v>
      </c>
      <c r="Q955" s="8" t="b">
        <f>_xlfn.XLOOKUP(CONTROL[[#This Row],[VEHIDCODE]],PROPERTIES[VEHIDCODE],PROPERTIES[IS_CONCEPT])="IS_CONCEPT"</f>
        <v>0</v>
      </c>
      <c r="R955" s="8" t="b">
        <f>_xlfn.XLOOKUP(CONTROL[[#This Row],[VEHIDCODE]],PROPERTIES[VEHIDCODE],PROPERTIES[EXCLUDE])</f>
        <v>0</v>
      </c>
    </row>
    <row r="956" spans="1:18">
      <c r="A956" t="s">
        <v>3469</v>
      </c>
      <c r="B956" s="26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7" t="s">
        <v>2042</v>
      </c>
      <c r="G956" t="s">
        <v>1972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6" t="str">
        <f>"item_"&amp;CONTROL[[#This Row],[VEHIDCODE]]</f>
        <v>item_diesel_GE_C44_9W_Dash_9</v>
      </c>
      <c r="P956" s="26" t="str">
        <f>"str_"&amp;CONTROL[[#This Row],[VEHIDCODE]]</f>
        <v>str_diesel_GE_C44_9W_Dash_9</v>
      </c>
      <c r="Q956" s="8" t="b">
        <f>_xlfn.XLOOKUP(CONTROL[[#This Row],[VEHIDCODE]],PROPERTIES[VEHIDCODE],PROPERTIES[IS_CONCEPT])="IS_CONCEPT"</f>
        <v>0</v>
      </c>
      <c r="R956" s="8" t="b">
        <f>_xlfn.XLOOKUP(CONTROL[[#This Row],[VEHIDCODE]],PROPERTIES[VEHIDCODE],PROPERTIES[EXCLUDE])</f>
        <v>0</v>
      </c>
    </row>
    <row r="957" spans="1:18">
      <c r="A957" t="s">
        <v>3560</v>
      </c>
      <c r="B957" s="26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7" t="s">
        <v>1973</v>
      </c>
      <c r="G957" t="s">
        <v>1974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6" t="str">
        <f>"item_"&amp;CONTROL[[#This Row],[VEHIDCODE]]</f>
        <v>item_diesel_EMD_GP40_DNU</v>
      </c>
      <c r="P957" s="26" t="str">
        <f>"str_"&amp;CONTROL[[#This Row],[VEHIDCODE]]</f>
        <v>str_diesel_EMD_GP40_DNU</v>
      </c>
      <c r="Q957" s="8" t="b">
        <f>_xlfn.XLOOKUP(CONTROL[[#This Row],[VEHIDCODE]],PROPERTIES[VEHIDCODE],PROPERTIES[IS_CONCEPT])="IS_CONCEPT"</f>
        <v>0</v>
      </c>
      <c r="R957" s="8" t="b">
        <f>_xlfn.XLOOKUP(CONTROL[[#This Row],[VEHIDCODE]],PROPERTIES[VEHIDCODE],PROPERTIES[EXCLUDE])</f>
        <v>1</v>
      </c>
    </row>
    <row r="958" spans="1:18">
      <c r="A958" t="s">
        <v>3470</v>
      </c>
      <c r="B958" s="26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7" t="s">
        <v>2603</v>
      </c>
      <c r="G958" t="s">
        <v>1976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6" t="str">
        <f>"item_"&amp;CONTROL[[#This Row],[VEHIDCODE]]</f>
        <v>item_steam_Kitson_2_2_2_3166_3171</v>
      </c>
      <c r="P958" s="26" t="str">
        <f>"str_"&amp;CONTROL[[#This Row],[VEHIDCODE]]</f>
        <v>str_steam_Kitson_2_2_2_3166_3171</v>
      </c>
      <c r="Q958" s="8" t="b">
        <f>_xlfn.XLOOKUP(CONTROL[[#This Row],[VEHIDCODE]],PROPERTIES[VEHIDCODE],PROPERTIES[IS_CONCEPT])="IS_CONCEPT"</f>
        <v>0</v>
      </c>
      <c r="R958" s="8" t="b">
        <f>_xlfn.XLOOKUP(CONTROL[[#This Row],[VEHIDCODE]],PROPERTIES[VEHIDCODE],PROPERTIES[EXCLUDE])</f>
        <v>0</v>
      </c>
    </row>
    <row r="959" spans="1:18">
      <c r="A959" t="s">
        <v>3471</v>
      </c>
      <c r="B959" s="26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7" t="s">
        <v>2604</v>
      </c>
      <c r="G959" t="s">
        <v>1975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6" t="str">
        <f>"item_"&amp;CONTROL[[#This Row],[VEHIDCODE]]</f>
        <v>item_steam_Burnham_2_6_0_15857_15871</v>
      </c>
      <c r="P959" s="26" t="str">
        <f>"str_"&amp;CONTROL[[#This Row],[VEHIDCODE]]</f>
        <v>str_steam_Burnham_2_6_0_15857_15871</v>
      </c>
      <c r="Q959" s="8" t="b">
        <f>_xlfn.XLOOKUP(CONTROL[[#This Row],[VEHIDCODE]],PROPERTIES[VEHIDCODE],PROPERTIES[IS_CONCEPT])="IS_CONCEPT"</f>
        <v>0</v>
      </c>
      <c r="R959" s="8" t="b">
        <f>_xlfn.XLOOKUP(CONTROL[[#This Row],[VEHIDCODE]],PROPERTIES[VEHIDCODE],PROPERTIES[EXCLUDE])</f>
        <v>0</v>
      </c>
    </row>
    <row r="960" spans="1:18">
      <c r="A960" t="s">
        <v>3472</v>
      </c>
      <c r="B960" s="26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7" t="s">
        <v>2605</v>
      </c>
      <c r="G960" t="s">
        <v>1977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6" t="str">
        <f>"item_"&amp;CONTROL[[#This Row],[VEHIDCODE]]</f>
        <v>item_steam_SA_Franco_Belge_0_6_0_Class_4</v>
      </c>
      <c r="P960" s="26" t="str">
        <f>"str_"&amp;CONTROL[[#This Row],[VEHIDCODE]]</f>
        <v>str_steam_SA_Franco_Belge_0_6_0_Class_4</v>
      </c>
      <c r="Q960" s="8" t="b">
        <f>_xlfn.XLOOKUP(CONTROL[[#This Row],[VEHIDCODE]],PROPERTIES[VEHIDCODE],PROPERTIES[IS_CONCEPT])="IS_CONCEPT"</f>
        <v>0</v>
      </c>
      <c r="R960" s="8" t="b">
        <f>_xlfn.XLOOKUP(CONTROL[[#This Row],[VEHIDCODE]],PROPERTIES[VEHIDCODE],PROPERTIES[EXCLUDE])</f>
        <v>0</v>
      </c>
    </row>
    <row r="961" spans="1:18">
      <c r="A961" s="2" t="s">
        <v>3473</v>
      </c>
      <c r="B961" s="26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7" t="s">
        <v>2658</v>
      </c>
      <c r="G961" t="s">
        <v>1978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6" t="str">
        <f>"item_"&amp;CONTROL[[#This Row],[VEHIDCODE]]</f>
        <v>item_mglv_ACME_Corp__Pegasus</v>
      </c>
      <c r="P961" s="26" t="str">
        <f>"str_"&amp;CONTROL[[#This Row],[VEHIDCODE]]</f>
        <v>str_mglv_ACME_Corp__Pegasus</v>
      </c>
      <c r="Q961" s="8" t="b">
        <f>_xlfn.XLOOKUP(CONTROL[[#This Row],[VEHIDCODE]],PROPERTIES[VEHIDCODE],PROPERTIES[IS_CONCEPT])="IS_CONCEPT"</f>
        <v>1</v>
      </c>
      <c r="R961" s="8" t="b">
        <f>_xlfn.XLOOKUP(CONTROL[[#This Row],[VEHIDCODE]],PROPERTIES[VEHIDCODE],PROPERTIES[EXCLUDE])</f>
        <v>0</v>
      </c>
    </row>
    <row r="962" spans="1:18">
      <c r="A962" s="2" t="s">
        <v>3474</v>
      </c>
      <c r="B962" s="26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7" t="s">
        <v>2659</v>
      </c>
      <c r="G962" t="s">
        <v>1979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6" t="str">
        <f>"item_"&amp;CONTROL[[#This Row],[VEHIDCODE]]</f>
        <v>item_mmu_ACME_Corp__Chimaera</v>
      </c>
      <c r="P962" s="26" t="str">
        <f>"str_"&amp;CONTROL[[#This Row],[VEHIDCODE]]</f>
        <v>str_mmu_ACME_Corp__Chimaera</v>
      </c>
      <c r="Q962" s="8" t="b">
        <f>_xlfn.XLOOKUP(CONTROL[[#This Row],[VEHIDCODE]],PROPERTIES[VEHIDCODE],PROPERTIES[IS_CONCEPT])="IS_CONCEPT"</f>
        <v>1</v>
      </c>
      <c r="R962" s="8" t="b">
        <f>_xlfn.XLOOKUP(CONTROL[[#This Row],[VEHIDCODE]],PROPERTIES[VEHIDCODE],PROPERTIES[EXCLUDE])</f>
        <v>0</v>
      </c>
    </row>
    <row r="963" spans="1:18">
      <c r="A963" t="s">
        <v>1980</v>
      </c>
      <c r="B963" s="26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7" t="s">
        <v>2660</v>
      </c>
      <c r="G963" t="s">
        <v>561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6" t="str">
        <f>"item_"&amp;CONTROL[[#This Row],[VEHIDCODE]]</f>
        <v>item_mglv_coach_Gen7M_Chimaera_Passenger_Coach</v>
      </c>
      <c r="P963" s="26" t="str">
        <f>"str_"&amp;CONTROL[[#This Row],[VEHIDCODE]]</f>
        <v>str_mglv_coach_Gen7M_Chimaera_Passenger_Coach</v>
      </c>
      <c r="Q963" s="8" t="b">
        <f>_xlfn.XLOOKUP(CONTROL[[#This Row],[VEHIDCODE]],PROPERTIES[VEHIDCODE],PROPERTIES[IS_CONCEPT])="IS_CONCEPT"</f>
        <v>1</v>
      </c>
      <c r="R963" s="8" t="b">
        <f>_xlfn.XLOOKUP(CONTROL[[#This Row],[VEHIDCODE]],PROPERTIES[VEHIDCODE],PROPERTIES[EXCLUDE])</f>
        <v>0</v>
      </c>
    </row>
    <row r="964" spans="1:18">
      <c r="A964" t="s">
        <v>1981</v>
      </c>
      <c r="B964" s="26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7" t="s">
        <v>2661</v>
      </c>
      <c r="G964" t="s">
        <v>561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6" t="str">
        <f>"item_"&amp;CONTROL[[#This Row],[VEHIDCODE]]</f>
        <v>item_mglv_coach_Gen7M_Chimaera_Mail_Coach</v>
      </c>
      <c r="P964" s="26" t="str">
        <f>"str_"&amp;CONTROL[[#This Row],[VEHIDCODE]]</f>
        <v>str_mglv_coach_Gen7M_Chimaera_Mail_Coach</v>
      </c>
      <c r="Q964" s="8" t="b">
        <f>_xlfn.XLOOKUP(CONTROL[[#This Row],[VEHIDCODE]],PROPERTIES[VEHIDCODE],PROPERTIES[IS_CONCEPT])="IS_CONCEPT"</f>
        <v>1</v>
      </c>
      <c r="R964" s="8" t="b">
        <f>_xlfn.XLOOKUP(CONTROL[[#This Row],[VEHIDCODE]],PROPERTIES[VEHIDCODE],PROPERTIES[EXCLUDE])</f>
        <v>0</v>
      </c>
    </row>
    <row r="965" spans="1:18">
      <c r="A965" t="s">
        <v>3475</v>
      </c>
      <c r="B965" s="26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7" t="s">
        <v>2606</v>
      </c>
      <c r="G965" t="s">
        <v>1984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6" t="str">
        <f>"item_"&amp;CONTROL[[#This Row],[VEHIDCODE]]</f>
        <v>item_steam_Sharp_BP_0_6_0_BDZ_142_150</v>
      </c>
      <c r="P965" s="26" t="str">
        <f>"str_"&amp;CONTROL[[#This Row],[VEHIDCODE]]</f>
        <v>str_steam_Sharp_BP_0_6_0_BDZ_142_150</v>
      </c>
      <c r="Q965" s="8" t="b">
        <f>_xlfn.XLOOKUP(CONTROL[[#This Row],[VEHIDCODE]],PROPERTIES[VEHIDCODE],PROPERTIES[IS_CONCEPT])="IS_CONCEPT"</f>
        <v>0</v>
      </c>
      <c r="R965" s="8" t="b">
        <f>_xlfn.XLOOKUP(CONTROL[[#This Row],[VEHIDCODE]],PROPERTIES[VEHIDCODE],PROPERTIES[EXCLUDE])</f>
        <v>0</v>
      </c>
    </row>
    <row r="966" spans="1:18">
      <c r="A966" t="s">
        <v>3476</v>
      </c>
      <c r="B966" s="26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7" t="s">
        <v>2607</v>
      </c>
      <c r="G966" t="s">
        <v>1985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6" t="str">
        <f>"item_"&amp;CONTROL[[#This Row],[VEHIDCODE]]</f>
        <v>item_steam_MAVAG_4_4_2_Class_203</v>
      </c>
      <c r="P966" s="26" t="str">
        <f>"str_"&amp;CONTROL[[#This Row],[VEHIDCODE]]</f>
        <v>str_steam_MAVAG_4_4_2_Class_203</v>
      </c>
      <c r="Q966" s="8" t="b">
        <f>_xlfn.XLOOKUP(CONTROL[[#This Row],[VEHIDCODE]],PROPERTIES[VEHIDCODE],PROPERTIES[IS_CONCEPT])="IS_CONCEPT"</f>
        <v>0</v>
      </c>
      <c r="R966" s="8" t="b">
        <f>_xlfn.XLOOKUP(CONTROL[[#This Row],[VEHIDCODE]],PROPERTIES[VEHIDCODE],PROPERTIES[EXCLUDE])</f>
        <v>0</v>
      </c>
    </row>
    <row r="967" spans="1:18">
      <c r="A967" t="s">
        <v>3477</v>
      </c>
      <c r="B967" s="26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7" t="s">
        <v>2608</v>
      </c>
      <c r="G967" t="s">
        <v>1986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6" t="str">
        <f>"item_"&amp;CONTROL[[#This Row],[VEHIDCODE]]</f>
        <v>item_steam_MAVAG_2_6_6_0_Class_601</v>
      </c>
      <c r="P967" s="26" t="str">
        <f>"str_"&amp;CONTROL[[#This Row],[VEHIDCODE]]</f>
        <v>str_steam_MAVAG_2_6_6_0_Class_601</v>
      </c>
      <c r="Q967" s="8" t="b">
        <f>_xlfn.XLOOKUP(CONTROL[[#This Row],[VEHIDCODE]],PROPERTIES[VEHIDCODE],PROPERTIES[IS_CONCEPT])="IS_CONCEPT"</f>
        <v>0</v>
      </c>
      <c r="R967" s="8" t="b">
        <f>_xlfn.XLOOKUP(CONTROL[[#This Row],[VEHIDCODE]],PROPERTIES[VEHIDCODE],PROPERTIES[EXCLUDE])</f>
        <v>0</v>
      </c>
    </row>
    <row r="968" spans="1:18">
      <c r="A968" t="s">
        <v>3478</v>
      </c>
      <c r="B968" s="26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7" t="s">
        <v>2609</v>
      </c>
      <c r="G968" t="s">
        <v>1987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6" t="str">
        <f>"item_"&amp;CONTROL[[#This Row],[VEHIDCODE]]</f>
        <v>item_electric_Ganz_MAVAG_VM7_V40</v>
      </c>
      <c r="P968" s="26" t="str">
        <f>"str_"&amp;CONTROL[[#This Row],[VEHIDCODE]]</f>
        <v>str_electric_Ganz_MAVAG_VM7_V40</v>
      </c>
      <c r="Q968" s="8" t="b">
        <f>_xlfn.XLOOKUP(CONTROL[[#This Row],[VEHIDCODE]],PROPERTIES[VEHIDCODE],PROPERTIES[IS_CONCEPT])="IS_CONCEPT"</f>
        <v>0</v>
      </c>
      <c r="R968" s="8" t="b">
        <f>_xlfn.XLOOKUP(CONTROL[[#This Row],[VEHIDCODE]],PROPERTIES[VEHIDCODE],PROPERTIES[EXCLUDE])</f>
        <v>0</v>
      </c>
    </row>
    <row r="969" spans="1:18">
      <c r="A969" t="s">
        <v>3479</v>
      </c>
      <c r="B969" s="26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7" t="s">
        <v>2102</v>
      </c>
      <c r="G969" t="s">
        <v>1988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6" t="str">
        <f>"item_"&amp;CONTROL[[#This Row],[VEHIDCODE]]</f>
        <v>item_diesel_PESA_111D</v>
      </c>
      <c r="P969" s="26" t="str">
        <f>"str_"&amp;CONTROL[[#This Row],[VEHIDCODE]]</f>
        <v>str_diesel_PESA_111D</v>
      </c>
      <c r="Q969" s="8" t="b">
        <f>_xlfn.XLOOKUP(CONTROL[[#This Row],[VEHIDCODE]],PROPERTIES[VEHIDCODE],PROPERTIES[IS_CONCEPT])="IS_CONCEPT"</f>
        <v>0</v>
      </c>
      <c r="R969" s="8" t="b">
        <f>_xlfn.XLOOKUP(CONTROL[[#This Row],[VEHIDCODE]],PROPERTIES[VEHIDCODE],PROPERTIES[EXCLUDE])</f>
        <v>0</v>
      </c>
    </row>
    <row r="970" spans="1:18">
      <c r="A970" t="s">
        <v>3480</v>
      </c>
      <c r="B970" s="26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7" t="s">
        <v>2610</v>
      </c>
      <c r="G970" t="s">
        <v>1989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6" t="str">
        <f>"item_"&amp;CONTROL[[#This Row],[VEHIDCODE]]</f>
        <v>item_steam_Stephenson_BP_2_2_2_LVCI_Class_1</v>
      </c>
      <c r="P970" s="26" t="str">
        <f>"str_"&amp;CONTROL[[#This Row],[VEHIDCODE]]</f>
        <v>str_steam_Stephenson_BP_2_2_2_LVCI_Class_1</v>
      </c>
      <c r="Q970" s="8" t="b">
        <f>_xlfn.XLOOKUP(CONTROL[[#This Row],[VEHIDCODE]],PROPERTIES[VEHIDCODE],PROPERTIES[IS_CONCEPT])="IS_CONCEPT"</f>
        <v>0</v>
      </c>
      <c r="R970" s="8" t="b">
        <f>_xlfn.XLOOKUP(CONTROL[[#This Row],[VEHIDCODE]],PROPERTIES[VEHIDCODE],PROPERTIES[EXCLUDE])</f>
        <v>0</v>
      </c>
    </row>
    <row r="971" spans="1:18">
      <c r="A971" t="s">
        <v>3481</v>
      </c>
      <c r="B971" s="26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7" t="s">
        <v>2611</v>
      </c>
      <c r="G971" t="s">
        <v>1990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6" t="str">
        <f>"item_"&amp;CONTROL[[#This Row],[VEHIDCODE]]</f>
        <v>item_steam_Babcock_4_6_2_2_6_4T_462</v>
      </c>
      <c r="P971" s="26" t="str">
        <f>"str_"&amp;CONTROL[[#This Row],[VEHIDCODE]]</f>
        <v>str_steam_Babcock_4_6_2_2_6_4T_462</v>
      </c>
      <c r="Q971" s="8" t="b">
        <f>_xlfn.XLOOKUP(CONTROL[[#This Row],[VEHIDCODE]],PROPERTIES[VEHIDCODE],PROPERTIES[IS_CONCEPT])="IS_CONCEPT"</f>
        <v>0</v>
      </c>
      <c r="R971" s="8" t="b">
        <f>_xlfn.XLOOKUP(CONTROL[[#This Row],[VEHIDCODE]],PROPERTIES[VEHIDCODE],PROPERTIES[EXCLUDE])</f>
        <v>0</v>
      </c>
    </row>
    <row r="972" spans="1:18">
      <c r="A972" s="2" t="s">
        <v>3482</v>
      </c>
      <c r="B972" s="26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7" t="s">
        <v>2612</v>
      </c>
      <c r="G972" s="39" t="s">
        <v>1992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6" t="str">
        <f>"item_"&amp;CONTROL[[#This Row],[VEHIDCODE]]</f>
        <v>item_steam_Koechlin_0_6_0_030</v>
      </c>
      <c r="P972" s="26" t="str">
        <f>"str_"&amp;CONTROL[[#This Row],[VEHIDCODE]]</f>
        <v>str_steam_Koechlin_0_6_0_030</v>
      </c>
      <c r="Q972" s="8" t="b">
        <f>_xlfn.XLOOKUP(CONTROL[[#This Row],[VEHIDCODE]],PROPERTIES[VEHIDCODE],PROPERTIES[IS_CONCEPT])="IS_CONCEPT"</f>
        <v>0</v>
      </c>
      <c r="R972" s="8" t="b">
        <f>_xlfn.XLOOKUP(CONTROL[[#This Row],[VEHIDCODE]],PROPERTIES[VEHIDCODE],PROPERTIES[EXCLUDE])</f>
        <v>0</v>
      </c>
    </row>
    <row r="973" spans="1:18">
      <c r="A973" s="2" t="s">
        <v>3483</v>
      </c>
      <c r="B973" s="26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7" t="s">
        <v>2613</v>
      </c>
      <c r="G973" t="s">
        <v>1993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6" t="str">
        <f>"item_"&amp;CONTROL[[#This Row],[VEHIDCODE]]</f>
        <v>item_steam_Hanomag_ALCO_4_8_0_240</v>
      </c>
      <c r="P973" s="26" t="str">
        <f>"str_"&amp;CONTROL[[#This Row],[VEHIDCODE]]</f>
        <v>str_steam_Hanomag_ALCO_4_8_0_240</v>
      </c>
      <c r="Q973" s="8" t="b">
        <f>_xlfn.XLOOKUP(CONTROL[[#This Row],[VEHIDCODE]],PROPERTIES[VEHIDCODE],PROPERTIES[IS_CONCEPT])="IS_CONCEPT"</f>
        <v>0</v>
      </c>
      <c r="R973" s="8" t="b">
        <f>_xlfn.XLOOKUP(CONTROL[[#This Row],[VEHIDCODE]],PROPERTIES[VEHIDCODE],PROPERTIES[EXCLUDE])</f>
        <v>0</v>
      </c>
    </row>
    <row r="974" spans="1:18">
      <c r="A974" t="s">
        <v>3484</v>
      </c>
      <c r="B974" s="26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7" t="s">
        <v>2614</v>
      </c>
      <c r="G974" t="s">
        <v>1994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6" t="str">
        <f>"item_"&amp;CONTROL[[#This Row],[VEHIDCODE]]</f>
        <v>item_emu_CRRC_Sifang_SFB_500</v>
      </c>
      <c r="P974" s="26" t="str">
        <f>"str_"&amp;CONTROL[[#This Row],[VEHIDCODE]]</f>
        <v>str_emu_CRRC_Sifang_SFB_500</v>
      </c>
      <c r="Q974" s="8" t="b">
        <f>_xlfn.XLOOKUP(CONTROL[[#This Row],[VEHIDCODE]],PROPERTIES[VEHIDCODE],PROPERTIES[IS_CONCEPT])="IS_CONCEPT"</f>
        <v>0</v>
      </c>
      <c r="R974" s="8" t="b">
        <f>_xlfn.XLOOKUP(CONTROL[[#This Row],[VEHIDCODE]],PROPERTIES[VEHIDCODE],PROPERTIES[EXCLUDE])</f>
        <v>0</v>
      </c>
    </row>
    <row r="975" spans="1:18">
      <c r="A975" t="s">
        <v>3485</v>
      </c>
      <c r="B975" s="26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7" t="s">
        <v>1997</v>
      </c>
      <c r="G975" t="s">
        <v>1996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6" t="str">
        <f>"item_"&amp;CONTROL[[#This Row],[VEHIDCODE]]</f>
        <v>item_diesel_EMC_E3</v>
      </c>
      <c r="P975" s="26" t="str">
        <f>"str_"&amp;CONTROL[[#This Row],[VEHIDCODE]]</f>
        <v>str_diesel_EMC_E3</v>
      </c>
      <c r="Q975" s="8" t="b">
        <f>_xlfn.XLOOKUP(CONTROL[[#This Row],[VEHIDCODE]],PROPERTIES[VEHIDCODE],PROPERTIES[IS_CONCEPT])="IS_CONCEPT"</f>
        <v>0</v>
      </c>
      <c r="R975" s="8" t="b">
        <f>_xlfn.XLOOKUP(CONTROL[[#This Row],[VEHIDCODE]],PROPERTIES[VEHIDCODE],PROPERTIES[EXCLUDE])</f>
        <v>0</v>
      </c>
    </row>
    <row r="976" spans="1:18">
      <c r="A976" t="s">
        <v>3486</v>
      </c>
      <c r="B976" s="26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7" t="s">
        <v>1998</v>
      </c>
      <c r="G976" t="s">
        <v>1999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6" t="str">
        <f>"item_"&amp;CONTROL[[#This Row],[VEHIDCODE]]</f>
        <v>item_diesel_EMD_FT</v>
      </c>
      <c r="P976" s="26" t="str">
        <f>"str_"&amp;CONTROL[[#This Row],[VEHIDCODE]]</f>
        <v>str_diesel_EMD_FT</v>
      </c>
      <c r="Q976" s="8" t="b">
        <f>_xlfn.XLOOKUP(CONTROL[[#This Row],[VEHIDCODE]],PROPERTIES[VEHIDCODE],PROPERTIES[IS_CONCEPT])="IS_CONCEPT"</f>
        <v>0</v>
      </c>
      <c r="R976" s="8" t="b">
        <f>_xlfn.XLOOKUP(CONTROL[[#This Row],[VEHIDCODE]],PROPERTIES[VEHIDCODE],PROPERTIES[EXCLUDE])</f>
        <v>0</v>
      </c>
    </row>
    <row r="977" spans="1:18">
      <c r="A977" t="s">
        <v>3487</v>
      </c>
      <c r="B977" s="26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7" t="s">
        <v>2032</v>
      </c>
      <c r="G977" t="s">
        <v>1800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6" t="str">
        <f>"item_"&amp;CONTROL[[#This Row],[VEHIDCODE]]</f>
        <v>item_diesel_LTZ_TE109</v>
      </c>
      <c r="P977" s="26" t="str">
        <f>"str_"&amp;CONTROL[[#This Row],[VEHIDCODE]]</f>
        <v>str_diesel_LTZ_TE109</v>
      </c>
      <c r="Q977" s="8" t="b">
        <f>_xlfn.XLOOKUP(CONTROL[[#This Row],[VEHIDCODE]],PROPERTIES[VEHIDCODE],PROPERTIES[IS_CONCEPT])="IS_CONCEPT"</f>
        <v>0</v>
      </c>
      <c r="R977" s="8" t="b">
        <f>_xlfn.XLOOKUP(CONTROL[[#This Row],[VEHIDCODE]],PROPERTIES[VEHIDCODE],PROPERTIES[EXCLUDE])</f>
        <v>0</v>
      </c>
    </row>
    <row r="978" spans="1:18">
      <c r="A978" s="2" t="s">
        <v>3488</v>
      </c>
      <c r="B978" s="26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7" t="s">
        <v>2615</v>
      </c>
      <c r="G978" t="s">
        <v>2000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6" t="str">
        <f>"item_"&amp;CONTROL[[#This Row],[VEHIDCODE]]</f>
        <v>item_emu_Hitachi_Kawasaki_Shinkansen_Series_100</v>
      </c>
      <c r="P978" s="26" t="str">
        <f>"str_"&amp;CONTROL[[#This Row],[VEHIDCODE]]</f>
        <v>str_emu_Hitachi_Kawasaki_Shinkansen_Series_100</v>
      </c>
      <c r="Q978" s="8" t="b">
        <f>_xlfn.XLOOKUP(CONTROL[[#This Row],[VEHIDCODE]],PROPERTIES[VEHIDCODE],PROPERTIES[IS_CONCEPT])="IS_CONCEPT"</f>
        <v>0</v>
      </c>
      <c r="R978" s="8" t="b">
        <f>_xlfn.XLOOKUP(CONTROL[[#This Row],[VEHIDCODE]],PROPERTIES[VEHIDCODE],PROPERTIES[EXCLUDE])</f>
        <v>0</v>
      </c>
    </row>
    <row r="979" spans="1:18">
      <c r="A979" t="s">
        <v>3489</v>
      </c>
      <c r="B979" s="26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7" t="s">
        <v>2645</v>
      </c>
      <c r="G979" t="s">
        <v>2001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6" t="str">
        <f>"item_"&amp;CONTROL[[#This Row],[VEHIDCODE]]</f>
        <v>item_diesel_Krauss_Maffei_ML_2200</v>
      </c>
      <c r="P979" s="26" t="str">
        <f>"str_"&amp;CONTROL[[#This Row],[VEHIDCODE]]</f>
        <v>str_diesel_Krauss_Maffei_ML_2200</v>
      </c>
      <c r="Q979" s="8" t="b">
        <f>_xlfn.XLOOKUP(CONTROL[[#This Row],[VEHIDCODE]],PROPERTIES[VEHIDCODE],PROPERTIES[IS_CONCEPT])="IS_CONCEPT"</f>
        <v>0</v>
      </c>
      <c r="R979" s="8" t="b">
        <f>_xlfn.XLOOKUP(CONTROL[[#This Row],[VEHIDCODE]],PROPERTIES[VEHIDCODE],PROPERTIES[EXCLUDE])</f>
        <v>0</v>
      </c>
    </row>
    <row r="980" spans="1:18">
      <c r="A980" t="s">
        <v>3490</v>
      </c>
      <c r="B980" s="26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7" t="s">
        <v>2654</v>
      </c>
      <c r="G980" t="s">
        <v>2002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6" t="str">
        <f>"item_"&amp;CONTROL[[#This Row],[VEHIDCODE]]</f>
        <v>item_dmu_Ganz_Hargita_M440</v>
      </c>
      <c r="P980" s="26" t="str">
        <f>"str_"&amp;CONTROL[[#This Row],[VEHIDCODE]]</f>
        <v>str_dmu_Ganz_Hargita_M440</v>
      </c>
      <c r="Q980" s="8" t="b">
        <f>_xlfn.XLOOKUP(CONTROL[[#This Row],[VEHIDCODE]],PROPERTIES[VEHIDCODE],PROPERTIES[IS_CONCEPT])="IS_CONCEPT"</f>
        <v>0</v>
      </c>
      <c r="R980" s="8" t="b">
        <f>_xlfn.XLOOKUP(CONTROL[[#This Row],[VEHIDCODE]],PROPERTIES[VEHIDCODE],PROPERTIES[EXCLUDE])</f>
        <v>0</v>
      </c>
    </row>
    <row r="981" spans="1:18">
      <c r="A981" s="2" t="s">
        <v>3491</v>
      </c>
      <c r="B981" s="26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7" t="s">
        <v>2616</v>
      </c>
      <c r="G981" t="s">
        <v>2003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6" t="str">
        <f>"item_"&amp;CONTROL[[#This Row],[VEHIDCODE]]</f>
        <v>item_electric_SSW_Krauss_E44</v>
      </c>
      <c r="P981" s="26" t="str">
        <f>"str_"&amp;CONTROL[[#This Row],[VEHIDCODE]]</f>
        <v>str_electric_SSW_Krauss_E44</v>
      </c>
      <c r="Q981" s="8" t="b">
        <f>_xlfn.XLOOKUP(CONTROL[[#This Row],[VEHIDCODE]],PROPERTIES[VEHIDCODE],PROPERTIES[IS_CONCEPT])="IS_CONCEPT"</f>
        <v>0</v>
      </c>
      <c r="R981" s="8" t="b">
        <f>_xlfn.XLOOKUP(CONTROL[[#This Row],[VEHIDCODE]],PROPERTIES[VEHIDCODE],PROPERTIES[EXCLUDE])</f>
        <v>0</v>
      </c>
    </row>
    <row r="982" spans="1:18">
      <c r="A982" t="s">
        <v>3492</v>
      </c>
      <c r="B982" s="26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7" t="s">
        <v>2005</v>
      </c>
      <c r="G982" t="s">
        <v>1988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6" t="str">
        <f>"item_"&amp;CONTROL[[#This Row],[VEHIDCODE]]</f>
        <v>item_electric_PESA_111MS</v>
      </c>
      <c r="P982" s="26" t="str">
        <f>"str_"&amp;CONTROL[[#This Row],[VEHIDCODE]]</f>
        <v>str_electric_PESA_111MS</v>
      </c>
      <c r="Q982" s="8" t="b">
        <f>_xlfn.XLOOKUP(CONTROL[[#This Row],[VEHIDCODE]],PROPERTIES[VEHIDCODE],PROPERTIES[IS_CONCEPT])="IS_CONCEPT"</f>
        <v>0</v>
      </c>
      <c r="R982" s="8" t="b">
        <f>_xlfn.XLOOKUP(CONTROL[[#This Row],[VEHIDCODE]],PROPERTIES[VEHIDCODE],PROPERTIES[EXCLUDE])</f>
        <v>0</v>
      </c>
    </row>
    <row r="983" spans="1:18">
      <c r="A983" s="2" t="s">
        <v>3493</v>
      </c>
      <c r="B983" s="26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7" t="s">
        <v>2103</v>
      </c>
      <c r="G983" t="s">
        <v>2006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6" t="str">
        <f>"item_"&amp;CONTROL[[#This Row],[VEHIDCODE]]</f>
        <v>item_electric_Kolomna_VL19</v>
      </c>
      <c r="P983" s="26" t="str">
        <f>"str_"&amp;CONTROL[[#This Row],[VEHIDCODE]]</f>
        <v>str_electric_Kolomna_VL19</v>
      </c>
      <c r="Q983" s="8" t="b">
        <f>_xlfn.XLOOKUP(CONTROL[[#This Row],[VEHIDCODE]],PROPERTIES[VEHIDCODE],PROPERTIES[IS_CONCEPT])="IS_CONCEPT"</f>
        <v>0</v>
      </c>
      <c r="R983" s="8" t="b">
        <f>_xlfn.XLOOKUP(CONTROL[[#This Row],[VEHIDCODE]],PROPERTIES[VEHIDCODE],PROPERTIES[EXCLUDE])</f>
        <v>0</v>
      </c>
    </row>
    <row r="984" spans="1:18">
      <c r="A984" s="2" t="s">
        <v>3494</v>
      </c>
      <c r="B984" s="26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7" t="s">
        <v>2617</v>
      </c>
      <c r="G984" t="s">
        <v>2007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6" t="str">
        <f>"item_"&amp;CONTROL[[#This Row],[VEHIDCODE]]</f>
        <v>item_electric_AEG_Krupp_E18</v>
      </c>
      <c r="P984" s="26" t="str">
        <f>"str_"&amp;CONTROL[[#This Row],[VEHIDCODE]]</f>
        <v>str_electric_AEG_Krupp_E18</v>
      </c>
      <c r="Q984" s="8" t="b">
        <f>_xlfn.XLOOKUP(CONTROL[[#This Row],[VEHIDCODE]],PROPERTIES[VEHIDCODE],PROPERTIES[IS_CONCEPT])="IS_CONCEPT"</f>
        <v>0</v>
      </c>
      <c r="R984" s="8" t="b">
        <f>_xlfn.XLOOKUP(CONTROL[[#This Row],[VEHIDCODE]],PROPERTIES[VEHIDCODE],PROPERTIES[EXCLUDE])</f>
        <v>0</v>
      </c>
    </row>
    <row r="985" spans="1:18">
      <c r="A985" t="s">
        <v>3495</v>
      </c>
      <c r="B985" s="26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7" t="s">
        <v>2618</v>
      </c>
      <c r="G985" t="s">
        <v>2008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6" t="str">
        <f>"item_"&amp;CONTROL[[#This Row],[VEHIDCODE]]</f>
        <v>item_emu_Hitachi_Alstom_Zefiro_Class_895_HS2</v>
      </c>
      <c r="P985" s="26" t="str">
        <f>"str_"&amp;CONTROL[[#This Row],[VEHIDCODE]]</f>
        <v>str_emu_Hitachi_Alstom_Zefiro_Class_895_HS2</v>
      </c>
      <c r="Q985" s="8" t="b">
        <f>_xlfn.XLOOKUP(CONTROL[[#This Row],[VEHIDCODE]],PROPERTIES[VEHIDCODE],PROPERTIES[IS_CONCEPT])="IS_CONCEPT"</f>
        <v>0</v>
      </c>
      <c r="R985" s="8" t="b">
        <f>_xlfn.XLOOKUP(CONTROL[[#This Row],[VEHIDCODE]],PROPERTIES[VEHIDCODE],PROPERTIES[EXCLUDE])</f>
        <v>0</v>
      </c>
    </row>
    <row r="986" spans="1:18">
      <c r="A986" t="s">
        <v>3496</v>
      </c>
      <c r="B986" s="26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7" t="s">
        <v>2033</v>
      </c>
      <c r="G986" t="s">
        <v>2009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6" t="str">
        <f>"item_"&amp;CONTROL[[#This Row],[VEHIDCODE]]</f>
        <v>item_diesel_EMD_JT22CW</v>
      </c>
      <c r="P986" s="26" t="str">
        <f>"str_"&amp;CONTROL[[#This Row],[VEHIDCODE]]</f>
        <v>str_diesel_EMD_JT22CW</v>
      </c>
      <c r="Q986" s="8" t="b">
        <f>_xlfn.XLOOKUP(CONTROL[[#This Row],[VEHIDCODE]],PROPERTIES[VEHIDCODE],PROPERTIES[IS_CONCEPT])="IS_CONCEPT"</f>
        <v>0</v>
      </c>
      <c r="R986" s="8" t="b">
        <f>_xlfn.XLOOKUP(CONTROL[[#This Row],[VEHIDCODE]],PROPERTIES[VEHIDCODE],PROPERTIES[EXCLUDE])</f>
        <v>0</v>
      </c>
    </row>
    <row r="987" spans="1:18">
      <c r="A987" t="s">
        <v>3497</v>
      </c>
      <c r="B987" s="26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7" t="s">
        <v>2644</v>
      </c>
      <c r="G987" t="s">
        <v>2017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6" t="str">
        <f>"item_"&amp;CONTROL[[#This Row],[VEHIDCODE]]</f>
        <v>item_dmu_RVR_DR1A</v>
      </c>
      <c r="P987" s="26" t="str">
        <f>"str_"&amp;CONTROL[[#This Row],[VEHIDCODE]]</f>
        <v>str_dmu_RVR_DR1A</v>
      </c>
      <c r="Q987" s="8" t="b">
        <f>_xlfn.XLOOKUP(CONTROL[[#This Row],[VEHIDCODE]],PROPERTIES[VEHIDCODE],PROPERTIES[IS_CONCEPT])="IS_CONCEPT"</f>
        <v>0</v>
      </c>
      <c r="R987" s="8" t="b">
        <f>_xlfn.XLOOKUP(CONTROL[[#This Row],[VEHIDCODE]],PROPERTIES[VEHIDCODE],PROPERTIES[EXCLUDE])</f>
        <v>0</v>
      </c>
    </row>
    <row r="988" spans="1:18">
      <c r="A988" t="s">
        <v>3498</v>
      </c>
      <c r="B988" s="26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7" t="s">
        <v>2662</v>
      </c>
      <c r="G988" t="s">
        <v>561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6" t="str">
        <f>"item_"&amp;CONTROL[[#This Row],[VEHIDCODE]]</f>
        <v>item_electric_ACME_Corp__HS001</v>
      </c>
      <c r="P988" s="26" t="str">
        <f>"str_"&amp;CONTROL[[#This Row],[VEHIDCODE]]</f>
        <v>str_electric_ACME_Corp__HS001</v>
      </c>
      <c r="Q988" s="8" t="b">
        <f>_xlfn.XLOOKUP(CONTROL[[#This Row],[VEHIDCODE]],PROPERTIES[VEHIDCODE],PROPERTIES[IS_CONCEPT])="IS_CONCEPT"</f>
        <v>1</v>
      </c>
      <c r="R988" s="8" t="b">
        <f>_xlfn.XLOOKUP(CONTROL[[#This Row],[VEHIDCODE]],PROPERTIES[VEHIDCODE],PROPERTIES[EXCLUDE])</f>
        <v>0</v>
      </c>
    </row>
    <row r="989" spans="1:18">
      <c r="A989" t="s">
        <v>3499</v>
      </c>
      <c r="B989" s="26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7" t="s">
        <v>2663</v>
      </c>
      <c r="G989" t="s">
        <v>561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6" t="str">
        <f>"item_"&amp;CONTROL[[#This Row],[VEHIDCODE]]</f>
        <v>item_electric_ACME_Corp__HS002</v>
      </c>
      <c r="P989" s="26" t="str">
        <f>"str_"&amp;CONTROL[[#This Row],[VEHIDCODE]]</f>
        <v>str_electric_ACME_Corp__HS002</v>
      </c>
      <c r="Q989" s="8" t="b">
        <f>_xlfn.XLOOKUP(CONTROL[[#This Row],[VEHIDCODE]],PROPERTIES[VEHIDCODE],PROPERTIES[IS_CONCEPT])="IS_CONCEPT"</f>
        <v>1</v>
      </c>
      <c r="R989" s="8" t="b">
        <f>_xlfn.XLOOKUP(CONTROL[[#This Row],[VEHIDCODE]],PROPERTIES[VEHIDCODE],PROPERTIES[EXCLUDE])</f>
        <v>0</v>
      </c>
    </row>
    <row r="990" spans="1:18">
      <c r="A990" t="s">
        <v>3500</v>
      </c>
      <c r="B990" s="26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7" t="s">
        <v>2664</v>
      </c>
      <c r="G990" t="s">
        <v>561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6" t="str">
        <f>"item_"&amp;CONTROL[[#This Row],[VEHIDCODE]]</f>
        <v>item_dmu_ACME_Corp__V200D_DMU</v>
      </c>
      <c r="P990" s="26" t="str">
        <f>"str_"&amp;CONTROL[[#This Row],[VEHIDCODE]]</f>
        <v>str_dmu_ACME_Corp__V200D_DMU</v>
      </c>
      <c r="Q990" s="8" t="b">
        <f>_xlfn.XLOOKUP(CONTROL[[#This Row],[VEHIDCODE]],PROPERTIES[VEHIDCODE],PROPERTIES[IS_CONCEPT])="IS_CONCEPT"</f>
        <v>1</v>
      </c>
      <c r="R990" s="8" t="b">
        <f>_xlfn.XLOOKUP(CONTROL[[#This Row],[VEHIDCODE]],PROPERTIES[VEHIDCODE],PROPERTIES[EXCLUDE])</f>
        <v>0</v>
      </c>
    </row>
    <row r="991" spans="1:18">
      <c r="A991" t="s">
        <v>3501</v>
      </c>
      <c r="B991" s="26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7" t="s">
        <v>2665</v>
      </c>
      <c r="G991" t="s">
        <v>561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6" t="str">
        <f>"item_"&amp;CONTROL[[#This Row],[VEHIDCODE]]</f>
        <v>item_emu_ACME_Corp__V200E_EMU</v>
      </c>
      <c r="P991" s="26" t="str">
        <f>"str_"&amp;CONTROL[[#This Row],[VEHIDCODE]]</f>
        <v>str_emu_ACME_Corp__V200E_EMU</v>
      </c>
      <c r="Q991" s="8" t="b">
        <f>_xlfn.XLOOKUP(CONTROL[[#This Row],[VEHIDCODE]],PROPERTIES[VEHIDCODE],PROPERTIES[IS_CONCEPT])="IS_CONCEPT"</f>
        <v>1</v>
      </c>
      <c r="R991" s="8" t="b">
        <f>_xlfn.XLOOKUP(CONTROL[[#This Row],[VEHIDCODE]],PROPERTIES[VEHIDCODE],PROPERTIES[EXCLUDE])</f>
        <v>0</v>
      </c>
    </row>
    <row r="992" spans="1:18">
      <c r="A992" t="s">
        <v>3502</v>
      </c>
      <c r="B992" s="26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7" t="s">
        <v>2667</v>
      </c>
      <c r="G992" t="s">
        <v>561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6" t="str">
        <f>"item_"&amp;CONTROL[[#This Row],[VEHIDCODE]]</f>
        <v>item_cargoemu_ACME_Corp__DD_CargoEMU</v>
      </c>
      <c r="P992" s="26" t="str">
        <f>"str_"&amp;CONTROL[[#This Row],[VEHIDCODE]]</f>
        <v>str_cargoemu_ACME_Corp__DD_CargoEMU</v>
      </c>
      <c r="Q992" s="8" t="b">
        <f>_xlfn.XLOOKUP(CONTROL[[#This Row],[VEHIDCODE]],PROPERTIES[VEHIDCODE],PROPERTIES[IS_CONCEPT])="IS_CONCEPT"</f>
        <v>1</v>
      </c>
      <c r="R992" s="8" t="b">
        <f>_xlfn.XLOOKUP(CONTROL[[#This Row],[VEHIDCODE]],PROPERTIES[VEHIDCODE],PROPERTIES[EXCLUDE])</f>
        <v>0</v>
      </c>
    </row>
    <row r="993" spans="1:18">
      <c r="A993" t="s">
        <v>3503</v>
      </c>
      <c r="B993" s="26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7" t="s">
        <v>3697</v>
      </c>
      <c r="G993" t="s">
        <v>2668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6" t="str">
        <f>"item_"&amp;CONTROL[[#This Row],[VEHIDCODE]]</f>
        <v>item_diesel_VEB_LKM_V180</v>
      </c>
      <c r="P993" s="26" t="str">
        <f>"str_"&amp;CONTROL[[#This Row],[VEHIDCODE]]</f>
        <v>str_diesel_VEB_LKM_V180</v>
      </c>
      <c r="Q993" s="8" t="b">
        <f>_xlfn.XLOOKUP(CONTROL[[#This Row],[VEHIDCODE]],PROPERTIES[VEHIDCODE],PROPERTIES[IS_CONCEPT])="IS_CONCEPT"</f>
        <v>0</v>
      </c>
      <c r="R993" s="8" t="b">
        <f>_xlfn.XLOOKUP(CONTROL[[#This Row],[VEHIDCODE]],PROPERTIES[VEHIDCODE],PROPERTIES[EXCLUDE])</f>
        <v>0</v>
      </c>
    </row>
    <row r="994" spans="1:18">
      <c r="A994" t="s">
        <v>3504</v>
      </c>
      <c r="B994" s="26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7" t="s">
        <v>2670</v>
      </c>
      <c r="G994" t="s">
        <v>2669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6" t="str">
        <f>"item_"&amp;CONTROL[[#This Row],[VEHIDCODE]]</f>
        <v>item_emu_PESA_43WE_DART</v>
      </c>
      <c r="P994" s="26" t="str">
        <f>"str_"&amp;CONTROL[[#This Row],[VEHIDCODE]]</f>
        <v>str_emu_PESA_43WE_DART</v>
      </c>
      <c r="Q994" s="47" t="b">
        <f>_xlfn.XLOOKUP(CONTROL[[#This Row],[VEHIDCODE]],PROPERTIES[VEHIDCODE],PROPERTIES[IS_CONCEPT])="IS_CONCEPT"</f>
        <v>0</v>
      </c>
      <c r="R994" s="8" t="b">
        <f>_xlfn.XLOOKUP(CONTROL[[#This Row],[VEHIDCODE]],PROPERTIES[VEHIDCODE],PROPERTIES[EXCLUDE])</f>
        <v>0</v>
      </c>
    </row>
    <row r="995" spans="1:18">
      <c r="A995" t="s">
        <v>3505</v>
      </c>
      <c r="B995" s="26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7" t="s">
        <v>2671</v>
      </c>
      <c r="G995" t="s">
        <v>2672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6" t="str">
        <f>"item_"&amp;CONTROL[[#This Row],[VEHIDCODE]]</f>
        <v>item_electric_LEW_EL2</v>
      </c>
      <c r="P995" s="26" t="str">
        <f>"str_"&amp;CONTROL[[#This Row],[VEHIDCODE]]</f>
        <v>str_electric_LEW_EL2</v>
      </c>
      <c r="Q995" s="47" t="b">
        <f>_xlfn.XLOOKUP(CONTROL[[#This Row],[VEHIDCODE]],PROPERTIES[VEHIDCODE],PROPERTIES[IS_CONCEPT])="IS_CONCEPT"</f>
        <v>0</v>
      </c>
      <c r="R995" s="8" t="b">
        <f>_xlfn.XLOOKUP(CONTROL[[#This Row],[VEHIDCODE]],PROPERTIES[VEHIDCODE],PROPERTIES[EXCLUDE])</f>
        <v>0</v>
      </c>
    </row>
    <row r="996" spans="1:18">
      <c r="A996" t="s">
        <v>3506</v>
      </c>
      <c r="B996" s="26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7" t="s">
        <v>2673</v>
      </c>
      <c r="G996" t="s">
        <v>2674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6" t="str">
        <f>"item_"&amp;CONTROL[[#This Row],[VEHIDCODE]]</f>
        <v>item_electric_Pafawag_201E</v>
      </c>
      <c r="P996" s="26" t="str">
        <f>"str_"&amp;CONTROL[[#This Row],[VEHIDCODE]]</f>
        <v>str_electric_Pafawag_201E</v>
      </c>
      <c r="Q996" s="47" t="b">
        <f>_xlfn.XLOOKUP(CONTROL[[#This Row],[VEHIDCODE]],PROPERTIES[VEHIDCODE],PROPERTIES[IS_CONCEPT])="IS_CONCEPT"</f>
        <v>0</v>
      </c>
      <c r="R996" s="8" t="b">
        <f>_xlfn.XLOOKUP(CONTROL[[#This Row],[VEHIDCODE]],PROPERTIES[VEHIDCODE],PROPERTIES[EXCLUDE])</f>
        <v>0</v>
      </c>
    </row>
    <row r="997" spans="1:18">
      <c r="A997" t="s">
        <v>3507</v>
      </c>
      <c r="B997" s="26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7" t="s">
        <v>2675</v>
      </c>
      <c r="G997" t="s">
        <v>2676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6" t="str">
        <f>"item_"&amp;CONTROL[[#This Row],[VEHIDCODE]]</f>
        <v>item_diesel_NOHAB_AA16</v>
      </c>
      <c r="P997" s="26" t="str">
        <f>"str_"&amp;CONTROL[[#This Row],[VEHIDCODE]]</f>
        <v>str_diesel_NOHAB_AA16</v>
      </c>
      <c r="Q997" s="47" t="b">
        <f>_xlfn.XLOOKUP(CONTROL[[#This Row],[VEHIDCODE]],PROPERTIES[VEHIDCODE],PROPERTIES[IS_CONCEPT])="IS_CONCEPT"</f>
        <v>0</v>
      </c>
      <c r="R997" s="8" t="b">
        <f>_xlfn.XLOOKUP(CONTROL[[#This Row],[VEHIDCODE]],PROPERTIES[VEHIDCODE],PROPERTIES[EXCLUDE])</f>
        <v>0</v>
      </c>
    </row>
    <row r="998" spans="1:18">
      <c r="A998" t="s">
        <v>3508</v>
      </c>
      <c r="B998" s="26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7" t="s">
        <v>2677</v>
      </c>
      <c r="G998" t="s">
        <v>2678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6" t="str">
        <f>"item_"&amp;CONTROL[[#This Row],[VEHIDCODE]]</f>
        <v>item_diesel_LEW_V100</v>
      </c>
      <c r="P998" s="26" t="str">
        <f>"str_"&amp;CONTROL[[#This Row],[VEHIDCODE]]</f>
        <v>str_diesel_LEW_V100</v>
      </c>
      <c r="Q998" s="47" t="b">
        <f>_xlfn.XLOOKUP(CONTROL[[#This Row],[VEHIDCODE]],PROPERTIES[VEHIDCODE],PROPERTIES[IS_CONCEPT])="IS_CONCEPT"</f>
        <v>0</v>
      </c>
      <c r="R998" s="8" t="b">
        <f>_xlfn.XLOOKUP(CONTROL[[#This Row],[VEHIDCODE]],PROPERTIES[VEHIDCODE],PROPERTIES[EXCLUDE])</f>
        <v>0</v>
      </c>
    </row>
    <row r="999" spans="1:18">
      <c r="A999" t="s">
        <v>3509</v>
      </c>
      <c r="B999" s="26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7" t="s">
        <v>2700</v>
      </c>
      <c r="G999" t="s">
        <v>2703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6" t="str">
        <f>"item_"&amp;CONTROL[[#This Row],[VEHIDCODE]]</f>
        <v>item_diesel_Fablok_6D</v>
      </c>
      <c r="P999" s="26" t="str">
        <f>"str_"&amp;CONTROL[[#This Row],[VEHIDCODE]]</f>
        <v>str_diesel_Fablok_6D</v>
      </c>
      <c r="Q999" s="47" t="b">
        <f>_xlfn.XLOOKUP(CONTROL[[#This Row],[VEHIDCODE]],PROPERTIES[VEHIDCODE],PROPERTIES[IS_CONCEPT])="IS_CONCEPT"</f>
        <v>0</v>
      </c>
      <c r="R999" s="8" t="b">
        <f>_xlfn.XLOOKUP(CONTROL[[#This Row],[VEHIDCODE]],PROPERTIES[VEHIDCODE],PROPERTIES[EXCLUDE])</f>
        <v>0</v>
      </c>
    </row>
    <row r="1000" spans="1:18">
      <c r="A1000" t="s">
        <v>3510</v>
      </c>
      <c r="B1000" s="26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7" t="s">
        <v>2704</v>
      </c>
      <c r="G1000" t="s">
        <v>2705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6" t="str">
        <f>"item_"&amp;CONTROL[[#This Row],[VEHIDCODE]]</f>
        <v>item_diesel_HCP_301D</v>
      </c>
      <c r="P1000" s="26" t="str">
        <f>"str_"&amp;CONTROL[[#This Row],[VEHIDCODE]]</f>
        <v>str_diesel_HCP_301D</v>
      </c>
      <c r="Q1000" s="47" t="b">
        <f>_xlfn.XLOOKUP(CONTROL[[#This Row],[VEHIDCODE]],PROPERTIES[VEHIDCODE],PROPERTIES[IS_CONCEPT])="IS_CONCEPT"</f>
        <v>0</v>
      </c>
      <c r="R1000" s="8" t="b">
        <f>_xlfn.XLOOKUP(CONTROL[[#This Row],[VEHIDCODE]],PROPERTIES[VEHIDCODE],PROPERTIES[EXCLUDE])</f>
        <v>0</v>
      </c>
    </row>
    <row r="1001" spans="1:18">
      <c r="A1001" t="s">
        <v>3511</v>
      </c>
      <c r="B1001" s="26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7" t="s">
        <v>2702</v>
      </c>
      <c r="G1001" t="s">
        <v>2701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6" t="str">
        <f>"item_"&amp;CONTROL[[#This Row],[VEHIDCODE]]</f>
        <v>item_dmu_Stadler_Flirt_PowerPack_DMU</v>
      </c>
      <c r="P1001" s="26" t="str">
        <f>"str_"&amp;CONTROL[[#This Row],[VEHIDCODE]]</f>
        <v>str_dmu_Stadler_Flirt_PowerPack_DMU</v>
      </c>
      <c r="Q1001" s="47" t="b">
        <f>_xlfn.XLOOKUP(CONTROL[[#This Row],[VEHIDCODE]],PROPERTIES[VEHIDCODE],PROPERTIES[IS_CONCEPT])="IS_CONCEPT"</f>
        <v>0</v>
      </c>
      <c r="R1001" s="8" t="b">
        <f>_xlfn.XLOOKUP(CONTROL[[#This Row],[VEHIDCODE]],PROPERTIES[VEHIDCODE],PROPERTIES[EXCLUDE])</f>
        <v>0</v>
      </c>
    </row>
    <row r="1002" spans="1:18">
      <c r="A1002" t="s">
        <v>3512</v>
      </c>
      <c r="B1002" s="26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7" t="s">
        <v>2706</v>
      </c>
      <c r="G1002" t="s">
        <v>2707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6" t="str">
        <f>"item_"&amp;CONTROL[[#This Row],[VEHIDCODE]]</f>
        <v>item_cargoemu_JNR_Container_Bullet_Train_Concept</v>
      </c>
      <c r="P1002" s="26" t="str">
        <f>"str_"&amp;CONTROL[[#This Row],[VEHIDCODE]]</f>
        <v>str_cargoemu_JNR_Container_Bullet_Train_Concept</v>
      </c>
      <c r="Q1002" s="47" t="b">
        <f>_xlfn.XLOOKUP(CONTROL[[#This Row],[VEHIDCODE]],PROPERTIES[VEHIDCODE],PROPERTIES[IS_CONCEPT])="IS_CONCEPT"</f>
        <v>1</v>
      </c>
      <c r="R1002" s="8" t="b">
        <f>_xlfn.XLOOKUP(CONTROL[[#This Row],[VEHIDCODE]],PROPERTIES[VEHIDCODE],PROPERTIES[EXCLUDE])</f>
        <v>0</v>
      </c>
    </row>
    <row r="1003" spans="1:18">
      <c r="A1003" t="s">
        <v>3513</v>
      </c>
      <c r="B1003" s="26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7" t="s">
        <v>2710</v>
      </c>
      <c r="G1003" t="s">
        <v>2711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6" t="str">
        <f>"item_"&amp;CONTROL[[#This Row],[VEHIDCODE]]</f>
        <v>item_electric_Hitachi_WAG_6B_C</v>
      </c>
      <c r="P1003" s="26" t="str">
        <f>"str_"&amp;CONTROL[[#This Row],[VEHIDCODE]]</f>
        <v>str_electric_Hitachi_WAG_6B_C</v>
      </c>
      <c r="Q1003" s="47" t="b">
        <f>_xlfn.XLOOKUP(CONTROL[[#This Row],[VEHIDCODE]],PROPERTIES[VEHIDCODE],PROPERTIES[IS_CONCEPT])="IS_CONCEPT"</f>
        <v>0</v>
      </c>
      <c r="R1003" s="8" t="b">
        <f>_xlfn.XLOOKUP(CONTROL[[#This Row],[VEHIDCODE]],PROPERTIES[VEHIDCODE],PROPERTIES[EXCLUDE])</f>
        <v>0</v>
      </c>
    </row>
    <row r="1004" spans="1:18">
      <c r="A1004" t="s">
        <v>3514</v>
      </c>
      <c r="B1004" s="26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7" t="s">
        <v>2712</v>
      </c>
      <c r="G1004" t="s">
        <v>2713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6" t="str">
        <f>"item_"&amp;CONTROL[[#This Row],[VEHIDCODE]]</f>
        <v>item_electric_Toshiba_10E</v>
      </c>
      <c r="P1004" s="26" t="str">
        <f>"str_"&amp;CONTROL[[#This Row],[VEHIDCODE]]</f>
        <v>str_electric_Toshiba_10E</v>
      </c>
      <c r="Q1004" s="47" t="b">
        <f>_xlfn.XLOOKUP(CONTROL[[#This Row],[VEHIDCODE]],PROPERTIES[VEHIDCODE],PROPERTIES[IS_CONCEPT])="IS_CONCEPT"</f>
        <v>0</v>
      </c>
      <c r="R1004" s="8" t="b">
        <f>_xlfn.XLOOKUP(CONTROL[[#This Row],[VEHIDCODE]],PROPERTIES[VEHIDCODE],PROPERTIES[EXCLUDE])</f>
        <v>0</v>
      </c>
    </row>
    <row r="1005" spans="1:18">
      <c r="A1005" s="2" t="s">
        <v>3515</v>
      </c>
      <c r="B1005" s="26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7" t="s">
        <v>2714</v>
      </c>
      <c r="G1005" t="s">
        <v>2715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6" t="str">
        <f>"item_"&amp;CONTROL[[#This Row],[VEHIDCODE]]</f>
        <v>item_electric_GEC_9E</v>
      </c>
      <c r="P1005" s="26" t="str">
        <f>"str_"&amp;CONTROL[[#This Row],[VEHIDCODE]]</f>
        <v>str_electric_GEC_9E</v>
      </c>
      <c r="Q1005" s="47" t="b">
        <f>_xlfn.XLOOKUP(CONTROL[[#This Row],[VEHIDCODE]],PROPERTIES[VEHIDCODE],PROPERTIES[IS_CONCEPT])="IS_CONCEPT"</f>
        <v>0</v>
      </c>
      <c r="R1005" s="8" t="b">
        <f>_xlfn.XLOOKUP(CONTROL[[#This Row],[VEHIDCODE]],PROPERTIES[VEHIDCODE],PROPERTIES[EXCLUDE])</f>
        <v>0</v>
      </c>
    </row>
    <row r="1006" spans="1:18">
      <c r="A1006" t="s">
        <v>3516</v>
      </c>
      <c r="B1006" s="26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7" t="s">
        <v>2716</v>
      </c>
      <c r="G1006" t="s">
        <v>2717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6" t="str">
        <f>"item_"&amp;CONTROL[[#This Row],[VEHIDCODE]]</f>
        <v>item_electric_Hitachi_E1100</v>
      </c>
      <c r="P1006" s="26" t="str">
        <f>"str_"&amp;CONTROL[[#This Row],[VEHIDCODE]]</f>
        <v>str_electric_Hitachi_E1100</v>
      </c>
      <c r="Q1006" s="47" t="b">
        <f>_xlfn.XLOOKUP(CONTROL[[#This Row],[VEHIDCODE]],PROPERTIES[VEHIDCODE],PROPERTIES[IS_CONCEPT])="IS_CONCEPT"</f>
        <v>0</v>
      </c>
      <c r="R1006" s="8" t="b">
        <f>_xlfn.XLOOKUP(CONTROL[[#This Row],[VEHIDCODE]],PROPERTIES[VEHIDCODE],PROPERTIES[EXCLUDE])</f>
        <v>0</v>
      </c>
    </row>
    <row r="1007" spans="1:18">
      <c r="A1007" t="s">
        <v>3517</v>
      </c>
      <c r="B1007" s="26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7" t="s">
        <v>2718</v>
      </c>
      <c r="G1007" t="s">
        <v>2719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6" t="str">
        <f>"item_"&amp;CONTROL[[#This Row],[VEHIDCODE]]</f>
        <v>item_electric_RDSO_CLW_WAM_4</v>
      </c>
      <c r="P1007" s="26" t="str">
        <f>"str_"&amp;CONTROL[[#This Row],[VEHIDCODE]]</f>
        <v>str_electric_RDSO_CLW_WAM_4</v>
      </c>
      <c r="Q1007" s="47" t="b">
        <f>_xlfn.XLOOKUP(CONTROL[[#This Row],[VEHIDCODE]],PROPERTIES[VEHIDCODE],PROPERTIES[IS_CONCEPT])="IS_CONCEPT"</f>
        <v>0</v>
      </c>
      <c r="R1007" s="8" t="b">
        <f>_xlfn.XLOOKUP(CONTROL[[#This Row],[VEHIDCODE]],PROPERTIES[VEHIDCODE],PROPERTIES[EXCLUDE])</f>
        <v>0</v>
      </c>
    </row>
    <row r="1008" spans="1:18">
      <c r="A1008" t="s">
        <v>3518</v>
      </c>
      <c r="B1008" s="26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7" t="s">
        <v>2721</v>
      </c>
      <c r="G1008" t="s">
        <v>2722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6" t="str">
        <f>"item_"&amp;CONTROL[[#This Row],[VEHIDCODE]]</f>
        <v>item_electric_Groupement_50_Hz_WAM_1</v>
      </c>
      <c r="P1008" s="26" t="str">
        <f>"str_"&amp;CONTROL[[#This Row],[VEHIDCODE]]</f>
        <v>str_electric_Groupement_50_Hz_WAM_1</v>
      </c>
      <c r="Q1008" s="47" t="b">
        <f>_xlfn.XLOOKUP(CONTROL[[#This Row],[VEHIDCODE]],PROPERTIES[VEHIDCODE],PROPERTIES[IS_CONCEPT])="IS_CONCEPT"</f>
        <v>0</v>
      </c>
      <c r="R1008" s="8" t="b">
        <f>_xlfn.XLOOKUP(CONTROL[[#This Row],[VEHIDCODE]],PROPERTIES[VEHIDCODE],PROPERTIES[EXCLUDE])</f>
        <v>0</v>
      </c>
    </row>
    <row r="1009" spans="1:18">
      <c r="A1009" t="s">
        <v>3519</v>
      </c>
      <c r="B1009" s="26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7" t="s">
        <v>2723</v>
      </c>
      <c r="G1009" t="s">
        <v>2724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6" t="str">
        <f>"item_"&amp;CONTROL[[#This Row],[VEHIDCODE]]</f>
        <v>item_diesel_Baldwin_Lima_Hamilton_RF_615_E</v>
      </c>
      <c r="P1009" s="26" t="str">
        <f>"str_"&amp;CONTROL[[#This Row],[VEHIDCODE]]</f>
        <v>str_diesel_Baldwin_Lima_Hamilton_RF_615_E</v>
      </c>
      <c r="Q1009" s="47" t="b">
        <f>_xlfn.XLOOKUP(CONTROL[[#This Row],[VEHIDCODE]],PROPERTIES[VEHIDCODE],PROPERTIES[IS_CONCEPT])="IS_CONCEPT"</f>
        <v>0</v>
      </c>
      <c r="R1009" s="8" t="b">
        <f>_xlfn.XLOOKUP(CONTROL[[#This Row],[VEHIDCODE]],PROPERTIES[VEHIDCODE],PROPERTIES[EXCLUDE])</f>
        <v>0</v>
      </c>
    </row>
    <row r="1010" spans="1:18">
      <c r="A1010" t="s">
        <v>3520</v>
      </c>
      <c r="B1010" s="26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7" t="s">
        <v>2725</v>
      </c>
      <c r="G1010" t="s">
        <v>2726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6" t="str">
        <f>"item_"&amp;CONTROL[[#This Row],[VEHIDCODE]]</f>
        <v>item_diesel_EE_Dick__Kerr___Co_Vulcan_Foundry_DE2</v>
      </c>
      <c r="P1010" s="26" t="str">
        <f>"str_"&amp;CONTROL[[#This Row],[VEHIDCODE]]</f>
        <v>str_diesel_EE_Dick__Kerr___Co_Vulcan_Foundry_DE2</v>
      </c>
      <c r="Q1010" s="47" t="b">
        <f>_xlfn.XLOOKUP(CONTROL[[#This Row],[VEHIDCODE]],PROPERTIES[VEHIDCODE],PROPERTIES[IS_CONCEPT])="IS_CONCEPT"</f>
        <v>0</v>
      </c>
      <c r="R1010" s="8" t="b">
        <f>_xlfn.XLOOKUP(CONTROL[[#This Row],[VEHIDCODE]],PROPERTIES[VEHIDCODE],PROPERTIES[EXCLUDE])</f>
        <v>0</v>
      </c>
    </row>
    <row r="1011" spans="1:18">
      <c r="A1011" t="s">
        <v>3570</v>
      </c>
      <c r="B1011" s="26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7" t="s">
        <v>2728</v>
      </c>
      <c r="G1011" t="s">
        <v>2727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6" t="str">
        <f>"item_"&amp;CONTROL[[#This Row],[VEHIDCODE]]</f>
        <v>item_diesel_Ingeteam_TD2000_series</v>
      </c>
      <c r="P1011" s="26" t="str">
        <f>"str_"&amp;CONTROL[[#This Row],[VEHIDCODE]]</f>
        <v>str_diesel_Ingeteam_TD2000_series</v>
      </c>
      <c r="Q1011" s="47" t="b">
        <f>_xlfn.XLOOKUP(CONTROL[[#This Row],[VEHIDCODE]],PROPERTIES[VEHIDCODE],PROPERTIES[IS_CONCEPT])="IS_CONCEPT"</f>
        <v>0</v>
      </c>
      <c r="R1011" s="8" t="b">
        <f>_xlfn.XLOOKUP(CONTROL[[#This Row],[VEHIDCODE]],PROPERTIES[VEHIDCODE],PROPERTIES[EXCLUDE])</f>
        <v>0</v>
      </c>
    </row>
    <row r="1012" spans="1:18">
      <c r="A1012" s="2" t="s">
        <v>3562</v>
      </c>
      <c r="B1012" s="26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7" t="s">
        <v>2487</v>
      </c>
      <c r="G1012" t="s">
        <v>1674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6" t="str">
        <f>"item_"&amp;CONTROL[[#This Row],[VEHIDCODE]]</f>
        <v>item_diesel_Tulloch_0_6_0DM_W_Class</v>
      </c>
      <c r="P1012" s="26" t="str">
        <f>"str_"&amp;CONTROL[[#This Row],[VEHIDCODE]]</f>
        <v>str_diesel_Tulloch_0_6_0DM_W_Class</v>
      </c>
      <c r="Q1012" s="47" t="b">
        <f>_xlfn.XLOOKUP(CONTROL[[#This Row],[VEHIDCODE]],PROPERTIES[VEHIDCODE],PROPERTIES[IS_CONCEPT])="IS_CONCEPT"</f>
        <v>0</v>
      </c>
      <c r="R1012" s="8" t="b">
        <f>_xlfn.XLOOKUP(CONTROL[[#This Row],[VEHIDCODE]],PROPERTIES[VEHIDCODE],PROPERTIES[EXCLUDE])</f>
        <v>0</v>
      </c>
    </row>
    <row r="1013" spans="1:18">
      <c r="A1013" t="s">
        <v>3574</v>
      </c>
      <c r="B1013" s="26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7" t="s">
        <v>3579</v>
      </c>
      <c r="G1013" t="s">
        <v>3584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Row],[VEHIDCODE]],FLAGS[VEHIDCODE],0))</f>
        <v>1</v>
      </c>
      <c r="M1013" t="b">
        <f>ISNUMBER(_xlfn.XLOOKUP(CONTROL[[#This Row],[VEHIDCODE]],roster!A:A,roster!D:D))</f>
        <v>1</v>
      </c>
      <c r="N1013" t="b">
        <f>ISNUMBER(_xlfn.XMATCH(CONTROL[[#This Row],[VEHIDCODE]],GRAPHICS_PROPERTIES[VEHIDCODE],0))</f>
        <v>1</v>
      </c>
      <c r="O1013" s="26" t="str">
        <f>"item_"&amp;CONTROL[[#This Row],[VEHIDCODE]]</f>
        <v>item_electric_GE_289_Boxcab</v>
      </c>
      <c r="P1013" s="26" t="str">
        <f>"str_"&amp;CONTROL[[#This Row],[VEHIDCODE]]</f>
        <v>str_electric_GE_289_Boxcab</v>
      </c>
      <c r="Q1013" s="47" t="b">
        <f>_xlfn.XLOOKUP(CONTROL[[#This Row],[VEHIDCODE]],PROPERTIES[VEHIDCODE],PROPERTIES[IS_CONCEPT])="IS_CONCEPT"</f>
        <v>0</v>
      </c>
      <c r="R1013" s="8" t="b">
        <f>_xlfn.XLOOKUP(CONTROL[[#This Row],[VEHIDCODE]],PROPERTIES[VEHIDCODE],PROPERTIES[EXCLUDE])</f>
        <v>0</v>
      </c>
    </row>
    <row r="1014" spans="1:18">
      <c r="A1014" t="s">
        <v>3577</v>
      </c>
      <c r="B1014" s="26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7" t="s">
        <v>3578</v>
      </c>
      <c r="G1014" t="s">
        <v>3580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Row],[VEHIDCODE]],FLAGS[VEHIDCODE],0))</f>
        <v>1</v>
      </c>
      <c r="M1014" t="b">
        <f>ISNUMBER(_xlfn.XLOOKUP(CONTROL[[#This Row],[VEHIDCODE]],roster!A:A,roster!D:D))</f>
        <v>1</v>
      </c>
      <c r="N1014" t="b">
        <f>ISNUMBER(_xlfn.XMATCH(CONTROL[[#This Row],[VEHIDCODE]],GRAPHICS_PROPERTIES[VEHIDCODE],0))</f>
        <v>1</v>
      </c>
      <c r="O1014" s="26" t="str">
        <f>"item_"&amp;CONTROL[[#This Row],[VEHIDCODE]]</f>
        <v>item_electric_Alsthom_EC_386</v>
      </c>
      <c r="P1014" s="26" t="str">
        <f>"str_"&amp;CONTROL[[#This Row],[VEHIDCODE]]</f>
        <v>str_electric_Alsthom_EC_386</v>
      </c>
      <c r="Q1014" s="47" t="b">
        <f>_xlfn.XLOOKUP(CONTROL[[#This Row],[VEHIDCODE]],PROPERTIES[VEHIDCODE],PROPERTIES[IS_CONCEPT])="IS_CONCEPT"</f>
        <v>0</v>
      </c>
      <c r="R1014" s="8" t="b">
        <f>_xlfn.XLOOKUP(CONTROL[[#This Row],[VEHIDCODE]],PROPERTIES[VEHIDCODE],PROPERTIES[EXCLUDE])</f>
        <v>0</v>
      </c>
    </row>
    <row r="1015" spans="1:18">
      <c r="A1015" t="s">
        <v>3582</v>
      </c>
      <c r="B1015" s="26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7" t="s">
        <v>3581</v>
      </c>
      <c r="G1015" t="s">
        <v>561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Row],[VEHIDCODE]],FLAGS[VEHIDCODE],0))</f>
        <v>1</v>
      </c>
      <c r="M1015" t="b">
        <f>ISNUMBER(_xlfn.XLOOKUP(CONTROL[[#This Row],[VEHIDCODE]],roster!A:A,roster!D:D))</f>
        <v>1</v>
      </c>
      <c r="N1015" t="b">
        <f>ISNUMBER(_xlfn.XMATCH(CONTROL[[#This Row],[VEHIDCODE]],GRAPHICS_PROPERTIES[VEHIDCODE],0))</f>
        <v>1</v>
      </c>
      <c r="O1015" s="26" t="str">
        <f>"item_"&amp;CONTROL[[#This Row],[VEHIDCODE]]</f>
        <v>item_electric_Chesta_Casagrande_E650</v>
      </c>
      <c r="P1015" s="26" t="str">
        <f>"str_"&amp;CONTROL[[#This Row],[VEHIDCODE]]</f>
        <v>str_electric_Chesta_Casagrande_E650</v>
      </c>
      <c r="Q1015" s="47" t="b">
        <f>_xlfn.XLOOKUP(CONTROL[[#This Row],[VEHIDCODE]],PROPERTIES[VEHIDCODE],PROPERTIES[IS_CONCEPT])="IS_CONCEPT"</f>
        <v>0</v>
      </c>
      <c r="R1015" s="8" t="b">
        <f>_xlfn.XLOOKUP(CONTROL[[#This Row],[VEHIDCODE]],PROPERTIES[VEHIDCODE],PROPERTIES[EXCLUDE])</f>
        <v>0</v>
      </c>
    </row>
    <row r="1016" spans="1:18">
      <c r="A1016" t="s">
        <v>3575</v>
      </c>
      <c r="B1016" s="26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7" t="s">
        <v>3576</v>
      </c>
      <c r="G1016" t="s">
        <v>3583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Row],[VEHIDCODE]],FLAGS[VEHIDCODE],0))</f>
        <v>1</v>
      </c>
      <c r="M1016" t="b">
        <f>ISNUMBER(_xlfn.XLOOKUP(CONTROL[[#This Row],[VEHIDCODE]],roster!A:A,roster!D:D))</f>
        <v>1</v>
      </c>
      <c r="N1016" t="b">
        <f>ISNUMBER(_xlfn.XMATCH(CONTROL[[#This Row],[VEHIDCODE]],GRAPHICS_PROPERTIES[VEHIDCODE],0))</f>
        <v>1</v>
      </c>
      <c r="O1016" s="26" t="str">
        <f>"item_"&amp;CONTROL[[#This Row],[VEHIDCODE]]</f>
        <v>item_electric_Breda_Marelli_E32</v>
      </c>
      <c r="P1016" s="26" t="str">
        <f>"str_"&amp;CONTROL[[#This Row],[VEHIDCODE]]</f>
        <v>str_electric_Breda_Marelli_E32</v>
      </c>
      <c r="Q1016" s="47" t="b">
        <f>_xlfn.XLOOKUP(CONTROL[[#This Row],[VEHIDCODE]],PROPERTIES[VEHIDCODE],PROPERTIES[IS_CONCEPT])="IS_CONCEPT"</f>
        <v>0</v>
      </c>
      <c r="R1016" s="8" t="b">
        <f>_xlfn.XLOOKUP(CONTROL[[#This Row],[VEHIDCODE]],PROPERTIES[VEHIDCODE],PROPERTIES[EXCLUDE])</f>
        <v>0</v>
      </c>
    </row>
    <row r="1017" spans="1:18">
      <c r="A1017" t="s">
        <v>3585</v>
      </c>
      <c r="B1017" s="26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7" t="s">
        <v>3586</v>
      </c>
      <c r="G1017" t="s">
        <v>1360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Row],[VEHIDCODE]],FLAGS[VEHIDCODE],0))</f>
        <v>1</v>
      </c>
      <c r="M1017" t="b">
        <f>ISNUMBER(_xlfn.XLOOKUP(CONTROL[[#This Row],[VEHIDCODE]],roster!A:A,roster!D:D))</f>
        <v>1</v>
      </c>
      <c r="N1017" t="b">
        <f>ISNUMBER(_xlfn.XMATCH(CONTROL[[#This Row],[VEHIDCODE]],GRAPHICS_PROPERTIES[VEHIDCODE],0))</f>
        <v>1</v>
      </c>
      <c r="O1017" s="26" t="str">
        <f>"item_"&amp;CONTROL[[#This Row],[VEHIDCODE]]</f>
        <v>item_diesel_GE_ES58ACi</v>
      </c>
      <c r="P1017" s="26" t="str">
        <f>"str_"&amp;CONTROL[[#This Row],[VEHIDCODE]]</f>
        <v>str_diesel_GE_ES58ACi</v>
      </c>
      <c r="Q1017" s="47" t="b">
        <f>_xlfn.XLOOKUP(CONTROL[[#This Row],[VEHIDCODE]],PROPERTIES[VEHIDCODE],PROPERTIES[IS_CONCEPT])="IS_CONCEPT"</f>
        <v>0</v>
      </c>
      <c r="R1017" s="8" t="b">
        <f>_xlfn.XLOOKUP(CONTROL[[#This Row],[VEHIDCODE]],PROPERTIES[VEHIDCODE],PROPERTIES[EXCLUDE])</f>
        <v>0</v>
      </c>
    </row>
    <row r="1018" spans="1:18">
      <c r="A1018" t="s">
        <v>3626</v>
      </c>
      <c r="B1018" s="26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7" t="s">
        <v>3633</v>
      </c>
      <c r="G1018" t="s">
        <v>3627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ISNUMBER(_xlfn.XMATCH(CONTROL[[#This Row],[VEHIDCODE]],FLAGS[VEHIDCODE],0))</f>
        <v>1</v>
      </c>
      <c r="M1018" t="b">
        <f>ISNUMBER(_xlfn.XLOOKUP(CONTROL[[#This Row],[VEHIDCODE]],roster!A:A,roster!D:D))</f>
        <v>1</v>
      </c>
      <c r="N1018" t="b">
        <f>ISNUMBER(_xlfn.XMATCH(CONTROL[[#This Row],[VEHIDCODE]],GRAPHICS_PROPERTIES[VEHIDCODE],0))</f>
        <v>1</v>
      </c>
      <c r="O1018" s="26" t="str">
        <f>"item_"&amp;CONTROL[[#This Row],[VEHIDCODE]]</f>
        <v>item_rbd_Ganz_MAVAG_Ikarus</v>
      </c>
      <c r="P1018" s="26" t="str">
        <f>"str_"&amp;CONTROL[[#This Row],[VEHIDCODE]]</f>
        <v>str_rbd_Ganz_MAVAG_Ikarus</v>
      </c>
      <c r="Q1018" s="47" t="b">
        <f>_xlfn.XLOOKUP(CONTROL[[#This Row],[VEHIDCODE]],PROPERTIES[VEHIDCODE],PROPERTIES[IS_CONCEPT])="IS_CONCEPT"</f>
        <v>0</v>
      </c>
      <c r="R1018" s="8" t="b">
        <f>_xlfn.XLOOKUP(CONTROL[[#This Row],[VEHIDCODE]],PROPERTIES[VEHIDCODE],PROPERTIES[EXCLUDE])</f>
        <v>0</v>
      </c>
    </row>
    <row r="1019" spans="1:18">
      <c r="A1019" t="s">
        <v>3643</v>
      </c>
      <c r="B1019" s="26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7" t="s">
        <v>3644</v>
      </c>
      <c r="G1019" t="s">
        <v>3645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ISNUMBER(_xlfn.XMATCH(CONTROL[[#This Row],[VEHIDCODE]],FLAGS[VEHIDCODE],0))</f>
        <v>1</v>
      </c>
      <c r="M1019" t="b">
        <f>ISNUMBER(_xlfn.XLOOKUP(CONTROL[[#This Row],[VEHIDCODE]],roster!A:A,roster!D:D))</f>
        <v>1</v>
      </c>
      <c r="N1019" t="b">
        <f>ISNUMBER(_xlfn.XMATCH(CONTROL[[#This Row],[VEHIDCODE]],GRAPHICS_PROPERTIES[VEHIDCODE],0))</f>
        <v>1</v>
      </c>
      <c r="O1019" s="26" t="str">
        <f>"item_"&amp;CONTROL[[#This Row],[VEHIDCODE]]</f>
        <v>item_mtro_Alstom_Metropolis</v>
      </c>
      <c r="P1019" s="26" t="str">
        <f>"str_"&amp;CONTROL[[#This Row],[VEHIDCODE]]</f>
        <v>str_mtro_Alstom_Metropolis</v>
      </c>
      <c r="Q1019" s="47" t="b">
        <f>_xlfn.XLOOKUP(CONTROL[[#This Row],[VEHIDCODE]],PROPERTIES[VEHIDCODE],PROPERTIES[IS_CONCEPT])="IS_CONCEPT"</f>
        <v>0</v>
      </c>
      <c r="R1019" s="8" t="b">
        <f>_xlfn.XLOOKUP(CONTROL[[#This Row],[VEHIDCODE]],PROPERTIES[VEHIDCODE],PROPERTIES[EXCLUDE])</f>
        <v>0</v>
      </c>
    </row>
    <row r="1020" spans="1:18">
      <c r="A1020" t="s">
        <v>3646</v>
      </c>
      <c r="B1020" s="26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7" t="s">
        <v>3649</v>
      </c>
      <c r="G1020" t="s">
        <v>3647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ISNUMBER(_xlfn.XMATCH(CONTROL[[#This Row],[VEHIDCODE]],FLAGS[VEHIDCODE],0))</f>
        <v>1</v>
      </c>
      <c r="M1020" t="b">
        <f>ISNUMBER(_xlfn.XLOOKUP(CONTROL[[#This Row],[VEHIDCODE]],roster!A:A,roster!D:D))</f>
        <v>1</v>
      </c>
      <c r="N1020" t="b">
        <f>ISNUMBER(_xlfn.XMATCH(CONTROL[[#This Row],[VEHIDCODE]],GRAPHICS_PROPERTIES[VEHIDCODE],0))</f>
        <v>1</v>
      </c>
      <c r="O1020" s="26" t="str">
        <f>"item_"&amp;CONTROL[[#This Row],[VEHIDCODE]]</f>
        <v>item_steam_Sharp_2_2_2_Patriot</v>
      </c>
      <c r="P1020" s="26" t="str">
        <f>"str_"&amp;CONTROL[[#This Row],[VEHIDCODE]]</f>
        <v>str_steam_Sharp_2_2_2_Patriot</v>
      </c>
      <c r="Q1020" s="47" t="b">
        <f>_xlfn.XLOOKUP(CONTROL[[#This Row],[VEHIDCODE]],PROPERTIES[VEHIDCODE],PROPERTIES[IS_CONCEPT])="IS_CONCEPT"</f>
        <v>0</v>
      </c>
      <c r="R1020" s="8" t="b">
        <f>_xlfn.XLOOKUP(CONTROL[[#This Row],[VEHIDCODE]],PROPERTIES[VEHIDCODE],PROPERTIES[EXCLUDE])</f>
        <v>0</v>
      </c>
    </row>
    <row r="1021" spans="1:18">
      <c r="A1021" s="2" t="s">
        <v>3656</v>
      </c>
      <c r="B1021" s="26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7" t="s">
        <v>3657</v>
      </c>
      <c r="G1021" t="s">
        <v>561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ISNUMBER(_xlfn.XMATCH(CONTROL[[#This Row],[VEHIDCODE]],FLAGS[VEHIDCODE],0))</f>
        <v>1</v>
      </c>
      <c r="M1021" t="b">
        <f>ISNUMBER(_xlfn.XLOOKUP(CONTROL[[#This Row],[VEHIDCODE]],roster!A:A,roster!D:D))</f>
        <v>1</v>
      </c>
      <c r="N1021" t="b">
        <f>ISNUMBER(_xlfn.XMATCH(CONTROL[[#This Row],[VEHIDCODE]],GRAPHICS_PROPERTIES[VEHIDCODE],0))</f>
        <v>1</v>
      </c>
      <c r="O1021" s="26" t="str">
        <f>"item_"&amp;CONTROL[[#This Row],[VEHIDCODE]]</f>
        <v>item_mu_Coach_Gen2_Heavyweight_Regional_Coach</v>
      </c>
      <c r="P1021" s="26" t="str">
        <f>"str_"&amp;CONTROL[[#This Row],[VEHIDCODE]]</f>
        <v>str_mu_Coach_Gen2_Heavyweight_Regional_Coach</v>
      </c>
      <c r="Q1021" s="8" t="b">
        <f>_xlfn.XLOOKUP(CONTROL[[#This Row],[VEHIDCODE]],PROPERTIES[VEHIDCODE],PROPERTIES[IS_CONCEPT])="IS_CONCEPT"</f>
        <v>0</v>
      </c>
      <c r="R1021" s="8" t="b">
        <f>_xlfn.XLOOKUP(CONTROL[[#This Row],[VEHIDCODE]],PROPERTIES[VEHIDCODE],PROPERTIES[EXCLUDE])</f>
        <v>0</v>
      </c>
    </row>
    <row r="1022" spans="1:18">
      <c r="A1022" t="s">
        <v>3661</v>
      </c>
      <c r="B1022" s="26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7" t="s">
        <v>3662</v>
      </c>
      <c r="G1022" t="s">
        <v>561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ISNUMBER(_xlfn.XMATCH(CONTROL[[#This Row],[VEHIDCODE]],FLAGS[VEHIDCODE],0))</f>
        <v>1</v>
      </c>
      <c r="M1022" t="b">
        <f>ISNUMBER(_xlfn.XLOOKUP(CONTROL[[#This Row],[VEHIDCODE]],roster!A:A,roster!D:D))</f>
        <v>1</v>
      </c>
      <c r="N1022" t="b">
        <f>ISNUMBER(_xlfn.XMATCH(CONTROL[[#This Row],[VEHIDCODE]],GRAPHICS_PROPERTIES[VEHIDCODE],0))</f>
        <v>1</v>
      </c>
      <c r="O1022" s="26" t="str">
        <f>"item_"&amp;CONTROL[[#This Row],[VEHIDCODE]]</f>
        <v>item_mu_Coach_Gen1_American_Style_Coach</v>
      </c>
      <c r="P1022" s="26" t="str">
        <f>"str_"&amp;CONTROL[[#This Row],[VEHIDCODE]]</f>
        <v>str_mu_Coach_Gen1_American_Style_Coach</v>
      </c>
      <c r="Q1022" s="47" t="b">
        <f>_xlfn.XLOOKUP(CONTROL[[#This Row],[VEHIDCODE]],PROPERTIES[VEHIDCODE],PROPERTIES[IS_CONCEPT])="IS_CONCEPT"</f>
        <v>0</v>
      </c>
      <c r="R1022" s="8" t="b">
        <f>_xlfn.XLOOKUP(CONTROL[[#This Row],[VEHIDCODE]],PROPERTIES[VEHIDCODE],PROPERTIES[EXCLUDE])</f>
        <v>0</v>
      </c>
    </row>
    <row r="1023" spans="1:18">
      <c r="A1023" t="s">
        <v>3660</v>
      </c>
      <c r="B1023" s="26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7" t="s">
        <v>3663</v>
      </c>
      <c r="G1023" t="s">
        <v>561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ISNUMBER(_xlfn.XMATCH(CONTROL[[#This Row],[VEHIDCODE]],FLAGS[VEHIDCODE],0))</f>
        <v>1</v>
      </c>
      <c r="M1023" t="b">
        <f>ISNUMBER(_xlfn.XLOOKUP(CONTROL[[#This Row],[VEHIDCODE]],roster!A:A,roster!D:D))</f>
        <v>1</v>
      </c>
      <c r="N1023" t="b">
        <f>ISNUMBER(_xlfn.XMATCH(CONTROL[[#This Row],[VEHIDCODE]],GRAPHICS_PROPERTIES[VEHIDCODE],0))</f>
        <v>1</v>
      </c>
      <c r="O1023" s="26" t="str">
        <f>"item_"&amp;CONTROL[[#This Row],[VEHIDCODE]]</f>
        <v>item_mu_Coach_Gen1_American_Style_Mail_Coach</v>
      </c>
      <c r="P1023" s="26" t="str">
        <f>"str_"&amp;CONTROL[[#This Row],[VEHIDCODE]]</f>
        <v>str_mu_Coach_Gen1_American_Style_Mail_Coach</v>
      </c>
      <c r="Q1023" s="47" t="b">
        <f>_xlfn.XLOOKUP(CONTROL[[#This Row],[VEHIDCODE]],PROPERTIES[VEHIDCODE],PROPERTIES[IS_CONCEPT])="IS_CONCEPT"</f>
        <v>0</v>
      </c>
      <c r="R1023" s="8" t="b">
        <f>_xlfn.XLOOKUP(CONTROL[[#This Row],[VEHIDCODE]],PROPERTIES[VEHIDCODE],PROPERTIES[EXCLUDE])</f>
        <v>0</v>
      </c>
    </row>
    <row r="1024" spans="1:18">
      <c r="A1024" s="2" t="s">
        <v>3667</v>
      </c>
      <c r="B1024" s="26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7" t="s">
        <v>3668</v>
      </c>
      <c r="G1024" t="s">
        <v>561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ISNUMBER(_xlfn.XMATCH(CONTROL[[#This Row],[VEHIDCODE]],FLAGS[VEHIDCODE],0))</f>
        <v>1</v>
      </c>
      <c r="M1024" t="b">
        <f>ISNUMBER(_xlfn.XLOOKUP(CONTROL[[#This Row],[VEHIDCODE]],roster!A:A,roster!D:D))</f>
        <v>1</v>
      </c>
      <c r="N1024" t="b">
        <f>ISNUMBER(_xlfn.XMATCH(CONTROL[[#This Row],[VEHIDCODE]],GRAPHICS_PROPERTIES[VEHIDCODE],0))</f>
        <v>1</v>
      </c>
      <c r="O1024" s="26" t="str">
        <f>"item_"&amp;CONTROL[[#This Row],[VEHIDCODE]]</f>
        <v>item_mu_Coach_Gen3_Steel_Lightweight_Commuter_Coach</v>
      </c>
      <c r="P1024" s="26" t="str">
        <f>"str_"&amp;CONTROL[[#This Row],[VEHIDCODE]]</f>
        <v>str_mu_Coach_Gen3_Steel_Lightweight_Commuter_Coach</v>
      </c>
      <c r="Q1024" s="47" t="b">
        <f>_xlfn.XLOOKUP(CONTROL[[#This Row],[VEHIDCODE]],PROPERTIES[VEHIDCODE],PROPERTIES[IS_CONCEPT])="IS_CONCEPT"</f>
        <v>0</v>
      </c>
      <c r="R1024" s="8" t="b">
        <f>_xlfn.XLOOKUP(CONTROL[[#This Row],[VEHIDCODE]],PROPERTIES[VEHIDCODE],PROPERTIES[EXCLUDE])</f>
        <v>0</v>
      </c>
    </row>
    <row r="1025" spans="1:18">
      <c r="A1025" t="s">
        <v>3669</v>
      </c>
      <c r="B1025" s="26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7" t="s">
        <v>3670</v>
      </c>
      <c r="G1025" t="s">
        <v>3671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ISNUMBER(_xlfn.XMATCH(CONTROL[[#This Row],[VEHIDCODE]],FLAGS[VEHIDCODE],0))</f>
        <v>1</v>
      </c>
      <c r="M1025" t="b">
        <f>ISNUMBER(_xlfn.XLOOKUP(CONTROL[[#This Row],[VEHIDCODE]],roster!A:A,roster!D:D))</f>
        <v>1</v>
      </c>
      <c r="N1025" t="b">
        <f>ISNUMBER(_xlfn.XMATCH(CONTROL[[#This Row],[VEHIDCODE]],GRAPHICS_PROPERTIES[VEHIDCODE],0))</f>
        <v>1</v>
      </c>
      <c r="O1025" s="26" t="str">
        <f>"item_"&amp;CONTROL[[#This Row],[VEHIDCODE]]</f>
        <v>item_electric_ALCO_GE_T_Motor</v>
      </c>
      <c r="P1025" s="26" t="str">
        <f>"str_"&amp;CONTROL[[#This Row],[VEHIDCODE]]</f>
        <v>str_electric_ALCO_GE_T_Motor</v>
      </c>
      <c r="Q1025" s="47" t="b">
        <f>_xlfn.XLOOKUP(CONTROL[[#This Row],[VEHIDCODE]],PROPERTIES[VEHIDCODE],PROPERTIES[IS_CONCEPT])="IS_CONCEPT"</f>
        <v>0</v>
      </c>
      <c r="R1025" s="8" t="b">
        <f>_xlfn.XLOOKUP(CONTROL[[#This Row],[VEHIDCODE]],PROPERTIES[VEHIDCODE],PROPERTIES[EXCLUDE])</f>
        <v>0</v>
      </c>
    </row>
    <row r="1026" spans="1:18">
      <c r="A1026" t="s">
        <v>3672</v>
      </c>
      <c r="B1026" s="26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7" t="s">
        <v>3673</v>
      </c>
      <c r="G1026" t="s">
        <v>3674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ISNUMBER(_xlfn.XMATCH(CONTROL[[#This Row],[VEHIDCODE]],FLAGS[VEHIDCODE],0))</f>
        <v>1</v>
      </c>
      <c r="M1026" t="b">
        <f>ISNUMBER(_xlfn.XLOOKUP(CONTROL[[#This Row],[VEHIDCODE]],roster!A:A,roster!D:D))</f>
        <v>1</v>
      </c>
      <c r="N1026" t="b">
        <f>ISNUMBER(_xlfn.XMATCH(CONTROL[[#This Row],[VEHIDCODE]],GRAPHICS_PROPERTIES[VEHIDCODE],0))</f>
        <v>1</v>
      </c>
      <c r="O1026" s="26" t="str">
        <f>"item_"&amp;CONTROL[[#This Row],[VEHIDCODE]]</f>
        <v>item_electric_Altoona_Works_DD1</v>
      </c>
      <c r="P1026" s="26" t="str">
        <f>"str_"&amp;CONTROL[[#This Row],[VEHIDCODE]]</f>
        <v>str_electric_Altoona_Works_DD1</v>
      </c>
      <c r="Q1026" s="47" t="b">
        <f>_xlfn.XLOOKUP(CONTROL[[#This Row],[VEHIDCODE]],PROPERTIES[VEHIDCODE],PROPERTIES[IS_CONCEPT])="IS_CONCEPT"</f>
        <v>0</v>
      </c>
      <c r="R1026" s="8" t="b">
        <f>_xlfn.XLOOKUP(CONTROL[[#This Row],[VEHIDCODE]],PROPERTIES[VEHIDCODE],PROPERTIES[EXCLUDE])</f>
        <v>0</v>
      </c>
    </row>
    <row r="1027" spans="1:18">
      <c r="A1027" t="s">
        <v>3677</v>
      </c>
      <c r="B1027" s="26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7" t="s">
        <v>3676</v>
      </c>
      <c r="G1027" t="s">
        <v>3675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ISNUMBER(_xlfn.XMATCH(CONTROL[[#This Row],[VEHIDCODE]],FLAGS[VEHIDCODE],0))</f>
        <v>1</v>
      </c>
      <c r="M1027" t="b">
        <f>ISNUMBER(_xlfn.XLOOKUP(CONTROL[[#This Row],[VEHIDCODE]],roster!A:A,roster!D:D))</f>
        <v>1</v>
      </c>
      <c r="N1027" t="b">
        <f>ISNUMBER(_xlfn.XMATCH(CONTROL[[#This Row],[VEHIDCODE]],GRAPHICS_PROPERTIES[VEHIDCODE],0))</f>
        <v>1</v>
      </c>
      <c r="O1027" s="26" t="str">
        <f>"item_"&amp;CONTROL[[#This Row],[VEHIDCODE]]</f>
        <v>item_emu_PRR_MP_70</v>
      </c>
      <c r="P1027" s="26" t="str">
        <f>"str_"&amp;CONTROL[[#This Row],[VEHIDCODE]]</f>
        <v>str_emu_PRR_MP_70</v>
      </c>
      <c r="Q1027" s="47" t="b">
        <f>_xlfn.XLOOKUP(CONTROL[[#This Row],[VEHIDCODE]],PROPERTIES[VEHIDCODE],PROPERTIES[IS_CONCEPT])="IS_CONCEPT"</f>
        <v>0</v>
      </c>
      <c r="R1027" s="8" t="b">
        <f>_xlfn.XLOOKUP(CONTROL[[#This Row],[VEHIDCODE]],PROPERTIES[VEHIDCODE],PROPERTIES[EXCLUDE])</f>
        <v>0</v>
      </c>
    </row>
    <row r="1028" spans="1:18">
      <c r="A1028" t="s">
        <v>3678</v>
      </c>
      <c r="B1028" s="26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7" t="s">
        <v>3679</v>
      </c>
      <c r="G1028" t="s">
        <v>3680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ISNUMBER(_xlfn.XMATCH(CONTROL[[#This Row],[VEHIDCODE]],FLAGS[VEHIDCODE],0))</f>
        <v>1</v>
      </c>
      <c r="M1028" t="b">
        <f>ISNUMBER(_xlfn.XLOOKUP(CONTROL[[#This Row],[VEHIDCODE]],roster!A:A,roster!D:D))</f>
        <v>1</v>
      </c>
      <c r="N1028" t="b">
        <f>ISNUMBER(_xlfn.XMATCH(CONTROL[[#This Row],[VEHIDCODE]],GRAPHICS_PROPERTIES[VEHIDCODE],0))</f>
        <v>1</v>
      </c>
      <c r="O1028" s="26" t="str">
        <f>"item_"&amp;CONTROL[[#This Row],[VEHIDCODE]]</f>
        <v>item_emu_Pullman_Standard_LIRR_MP75</v>
      </c>
      <c r="P1028" s="26" t="str">
        <f>"str_"&amp;CONTROL[[#This Row],[VEHIDCODE]]</f>
        <v>str_emu_Pullman_Standard_LIRR_MP75</v>
      </c>
      <c r="Q1028" s="47" t="b">
        <f>_xlfn.XLOOKUP(CONTROL[[#This Row],[VEHIDCODE]],PROPERTIES[VEHIDCODE],PROPERTIES[IS_CONCEPT])="IS_CONCEPT"</f>
        <v>0</v>
      </c>
      <c r="R1028" s="8" t="b">
        <f>_xlfn.XLOOKUP(CONTROL[[#This Row],[VEHIDCODE]],PROPERTIES[VEHIDCODE],PROPERTIES[EXCLUDE])</f>
        <v>0</v>
      </c>
    </row>
    <row r="1029" spans="1:18">
      <c r="A1029" t="s">
        <v>3682</v>
      </c>
      <c r="B1029" s="26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7" t="s">
        <v>3683</v>
      </c>
      <c r="G1029" t="s">
        <v>3681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ISNUMBER(_xlfn.XMATCH(CONTROL[[#This Row],[VEHIDCODE]],FLAGS[VEHIDCODE],0))</f>
        <v>1</v>
      </c>
      <c r="M1029" t="b">
        <f>ISNUMBER(_xlfn.XLOOKUP(CONTROL[[#This Row],[VEHIDCODE]],roster!A:A,roster!D:D))</f>
        <v>1</v>
      </c>
      <c r="N1029" t="b">
        <f>ISNUMBER(_xlfn.XMATCH(CONTROL[[#This Row],[VEHIDCODE]],GRAPHICS_PROPERTIES[VEHIDCODE],0))</f>
        <v>1</v>
      </c>
      <c r="O1029" s="26" t="str">
        <f>"item_"&amp;CONTROL[[#This Row],[VEHIDCODE]]</f>
        <v>item_singlemtro_ACF_NYCC_Heavyweight</v>
      </c>
      <c r="P1029" s="26" t="str">
        <f>"str_"&amp;CONTROL[[#This Row],[VEHIDCODE]]</f>
        <v>str_singlemtro_ACF_NYCC_Heavyweight</v>
      </c>
      <c r="Q1029" s="47" t="b">
        <f>_xlfn.XLOOKUP(CONTROL[[#This Row],[VEHIDCODE]],PROPERTIES[VEHIDCODE],PROPERTIES[IS_CONCEPT])="IS_CONCEPT"</f>
        <v>0</v>
      </c>
      <c r="R1029" s="8" t="b">
        <f>_xlfn.XLOOKUP(CONTROL[[#This Row],[VEHIDCODE]],PROPERTIES[VEHIDCODE],PROPERTIES[EXCLUDE])</f>
        <v>0</v>
      </c>
    </row>
    <row r="1030" spans="1:18">
      <c r="A1030" s="2" t="s">
        <v>3684</v>
      </c>
      <c r="B1030" s="26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7" t="s">
        <v>3685</v>
      </c>
      <c r="G1030" t="s">
        <v>3686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ISNUMBER(_xlfn.XMATCH(CONTROL[[#This Row],[VEHIDCODE]],FLAGS[VEHIDCODE],0))</f>
        <v>1</v>
      </c>
      <c r="M1030" t="b">
        <f>ISNUMBER(_xlfn.XLOOKUP(CONTROL[[#This Row],[VEHIDCODE]],roster!A:A,roster!D:D))</f>
        <v>1</v>
      </c>
      <c r="N1030" t="b">
        <f>ISNUMBER(_xlfn.XMATCH(CONTROL[[#This Row],[VEHIDCODE]],GRAPHICS_PROPERTIES[VEHIDCODE],0))</f>
        <v>1</v>
      </c>
      <c r="O1030" s="26" t="str">
        <f>"item_"&amp;CONTROL[[#This Row],[VEHIDCODE]]</f>
        <v>item_mu_Coach_Gen3_Goerlitz_Doppelstockwagen_Articulated_Coach</v>
      </c>
      <c r="P1030" s="26" t="str">
        <f>"str_"&amp;CONTROL[[#This Row],[VEHIDCODE]]</f>
        <v>str_mu_Coach_Gen3_Goerlitz_Doppelstockwagen_Articulated_Coach</v>
      </c>
      <c r="Q1030" s="47" t="b">
        <f>_xlfn.XLOOKUP(CONTROL[[#This Row],[VEHIDCODE]],PROPERTIES[VEHIDCODE],PROPERTIES[IS_CONCEPT])="IS_CONCEPT"</f>
        <v>0</v>
      </c>
      <c r="R1030" s="8" t="b">
        <f>_xlfn.XLOOKUP(CONTROL[[#This Row],[VEHIDCODE]],PROPERTIES[VEHIDCODE],PROPERTIES[EXCLUDE])</f>
        <v>0</v>
      </c>
    </row>
    <row r="1031" spans="1:18">
      <c r="A1031" s="2" t="s">
        <v>3689</v>
      </c>
      <c r="B1031" s="26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7" t="s">
        <v>411</v>
      </c>
      <c r="G1031" t="s">
        <v>1609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ISNUMBER(_xlfn.XMATCH(CONTROL[[#This Row],[VEHIDCODE]],FLAGS[VEHIDCODE],0))</f>
        <v>1</v>
      </c>
      <c r="M1031" t="b">
        <f>ISNUMBER(_xlfn.XLOOKUP(CONTROL[[#This Row],[VEHIDCODE]],roster!A:A,roster!D:D))</f>
        <v>1</v>
      </c>
      <c r="N1031" t="b">
        <f>ISNUMBER(_xlfn.XMATCH(CONTROL[[#This Row],[VEHIDCODE]],GRAPHICS_PROPERTIES[VEHIDCODE],0))</f>
        <v>1</v>
      </c>
      <c r="O1031" s="26" t="str">
        <f>"item_"&amp;CONTROL[[#This Row],[VEHIDCODE]]</f>
        <v>item_emu_PRR_MP54_3RL</v>
      </c>
      <c r="P1031" s="26" t="str">
        <f>"str_"&amp;CONTROL[[#This Row],[VEHIDCODE]]</f>
        <v>str_emu_PRR_MP54_3RL</v>
      </c>
      <c r="Q1031" s="8" t="b">
        <f>_xlfn.XLOOKUP(CONTROL[[#This Row],[VEHIDCODE]],PROPERTIES[VEHIDCODE],PROPERTIES[IS_CONCEPT])="IS_CONCEPT"</f>
        <v>0</v>
      </c>
      <c r="R1031" s="8" t="b">
        <f>_xlfn.XLOOKUP(CONTROL[[#This Row],[VEHIDCODE]],PROPERTIES[VEHIDCODE],PROPERTIES[EXCLUDE])</f>
        <v>0</v>
      </c>
    </row>
    <row r="1032" spans="1:18">
      <c r="A1032" s="2" t="s">
        <v>3690</v>
      </c>
      <c r="B1032" s="26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7" t="s">
        <v>411</v>
      </c>
      <c r="G1032" t="s">
        <v>1609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ISNUMBER(_xlfn.XMATCH(CONTROL[[#This Row],[VEHIDCODE]],FLAGS[VEHIDCODE],0))</f>
        <v>1</v>
      </c>
      <c r="M1032" t="b">
        <f>ISNUMBER(_xlfn.XLOOKUP(CONTROL[[#This Row],[VEHIDCODE]],roster!A:A,roster!D:D))</f>
        <v>1</v>
      </c>
      <c r="N1032" t="b">
        <f>ISNUMBER(_xlfn.XMATCH(CONTROL[[#This Row],[VEHIDCODE]],GRAPHICS_PROPERTIES[VEHIDCODE],0))</f>
        <v>1</v>
      </c>
      <c r="O1032" s="26" t="str">
        <f>"item_"&amp;CONTROL[[#This Row],[VEHIDCODE]]</f>
        <v>item_emu_PRR_MP54_OHLE</v>
      </c>
      <c r="P1032" s="26" t="str">
        <f>"str_"&amp;CONTROL[[#This Row],[VEHIDCODE]]</f>
        <v>str_emu_PRR_MP54_OHLE</v>
      </c>
      <c r="Q1032" s="8" t="b">
        <f>_xlfn.XLOOKUP(CONTROL[[#This Row],[VEHIDCODE]],PROPERTIES[VEHIDCODE],PROPERTIES[IS_CONCEPT])="IS_CONCEPT"</f>
        <v>0</v>
      </c>
      <c r="R1032" s="8" t="b">
        <f>_xlfn.XLOOKUP(CONTROL[[#This Row],[VEHIDCODE]],PROPERTIES[VEHIDCODE],PROPERTIES[EXCLUDE])</f>
        <v>0</v>
      </c>
    </row>
    <row r="1033" spans="1:18">
      <c r="A1033" s="2" t="s">
        <v>3692</v>
      </c>
      <c r="B1033" s="26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7" t="s">
        <v>3693</v>
      </c>
      <c r="G1033" t="s">
        <v>1609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ISNUMBER(_xlfn.XMATCH(CONTROL[[#This Row],[VEHIDCODE]],FLAGS[VEHIDCODE],0))</f>
        <v>1</v>
      </c>
      <c r="M1033" t="b">
        <f>ISNUMBER(_xlfn.XLOOKUP(CONTROL[[#This Row],[VEHIDCODE]],roster!A:A,roster!D:D))</f>
        <v>1</v>
      </c>
      <c r="N1033" t="b">
        <f>ISNUMBER(_xlfn.XMATCH(CONTROL[[#This Row],[VEHIDCODE]],GRAPHICS_PROPERTIES[VEHIDCODE],0))</f>
        <v>1</v>
      </c>
      <c r="O1033" s="26" t="str">
        <f>"item_"&amp;CONTROL[[#This Row],[VEHIDCODE]]</f>
        <v>item_mu_Coach_Gen2_PRR_MP54_Commuter_Coach</v>
      </c>
      <c r="P1033" s="26" t="str">
        <f>"str_"&amp;CONTROL[[#This Row],[VEHIDCODE]]</f>
        <v>str_mu_Coach_Gen2_PRR_MP54_Commuter_Coach</v>
      </c>
      <c r="Q1033" s="47" t="b">
        <f>_xlfn.XLOOKUP(CONTROL[[#This Row],[VEHIDCODE]],PROPERTIES[VEHIDCODE],PROPERTIES[IS_CONCEPT])="IS_CONCEPT"</f>
        <v>0</v>
      </c>
      <c r="R1033" s="8" t="b">
        <f>_xlfn.XLOOKUP(CONTROL[[#This Row],[VEHIDCODE]],PROPERTIES[VEHIDCODE],PROPERTIES[EXCLUDE])</f>
        <v>0</v>
      </c>
    </row>
    <row r="1034" spans="1:18">
      <c r="A1034" s="2" t="s">
        <v>3691</v>
      </c>
      <c r="B1034" s="26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7" t="s">
        <v>3694</v>
      </c>
      <c r="G1034" t="s">
        <v>1609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ISNUMBER(_xlfn.XMATCH(CONTROL[[#This Row],[VEHIDCODE]],FLAGS[VEHIDCODE],0))</f>
        <v>1</v>
      </c>
      <c r="M1034" t="b">
        <f>ISNUMBER(_xlfn.XLOOKUP(CONTROL[[#This Row],[VEHIDCODE]],roster!A:A,roster!D:D))</f>
        <v>1</v>
      </c>
      <c r="N1034" t="b">
        <f>ISNUMBER(_xlfn.XMATCH(CONTROL[[#This Row],[VEHIDCODE]],GRAPHICS_PROPERTIES[VEHIDCODE],0))</f>
        <v>1</v>
      </c>
      <c r="O1034" s="26" t="str">
        <f>"item_"&amp;CONTROL[[#This Row],[VEHIDCODE]]</f>
        <v>item_mu_Coach_Gen2_PRR_MP54_Mail_Coach</v>
      </c>
      <c r="P1034" s="26" t="str">
        <f>"str_"&amp;CONTROL[[#This Row],[VEHIDCODE]]</f>
        <v>str_mu_Coach_Gen2_PRR_MP54_Mail_Coach</v>
      </c>
      <c r="Q1034" s="47" t="b">
        <f>_xlfn.XLOOKUP(CONTROL[[#This Row],[VEHIDCODE]],PROPERTIES[VEHIDCODE],PROPERTIES[IS_CONCEPT])="IS_CONCEPT"</f>
        <v>0</v>
      </c>
      <c r="R1034" s="8" t="b">
        <f>_xlfn.XLOOKUP(CONTROL[[#This Row],[VEHIDCODE]],PROPERTIES[VEHIDCODE],PROPERTIES[EXCLUDE])</f>
        <v>0</v>
      </c>
    </row>
    <row r="1035" spans="1:18">
      <c r="A1035" s="2" t="s">
        <v>3698</v>
      </c>
      <c r="B1035" s="26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7" t="s">
        <v>3699</v>
      </c>
      <c r="G1035" t="s">
        <v>561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ISNUMBER(_xlfn.XMATCH(CONTROL[[#This Row],[VEHIDCODE]],FLAGS[VEHIDCODE],0))</f>
        <v>1</v>
      </c>
      <c r="M1035" t="b">
        <f>ISNUMBER(_xlfn.XLOOKUP(CONTROL[[#This Row],[VEHIDCODE]],roster!A:A,roster!D:D))</f>
        <v>1</v>
      </c>
      <c r="N1035" t="b">
        <f>ISNUMBER(_xlfn.XMATCH(CONTROL[[#This Row],[VEHIDCODE]],GRAPHICS_PROPERTIES[VEHIDCODE],0))</f>
        <v>1</v>
      </c>
      <c r="O1035" s="26" t="str">
        <f>"item_"&amp;CONTROL[[#This Row],[VEHIDCODE]]</f>
        <v>item_mu_Coach_Gen3_PRR_P70_Bilevel_Coach</v>
      </c>
      <c r="P1035" s="26" t="str">
        <f>"str_"&amp;CONTROL[[#This Row],[VEHIDCODE]]</f>
        <v>str_mu_Coach_Gen3_PRR_P70_Bilevel_Coach</v>
      </c>
      <c r="Q1035" s="47" t="b">
        <f>_xlfn.XLOOKUP(CONTROL[[#This Row],[VEHIDCODE]],PROPERTIES[VEHIDCODE],PROPERTIES[IS_CONCEPT])="IS_CONCEPT"</f>
        <v>1</v>
      </c>
      <c r="R1035" s="8" t="b">
        <f>_xlfn.XLOOKUP(CONTROL[[#This Row],[VEHIDCODE]],PROPERTIES[VEHIDCODE],PROPERTIES[EXCLUDE])</f>
        <v>0</v>
      </c>
    </row>
    <row r="1036" spans="1:18">
      <c r="A1036" s="2" t="s">
        <v>3700</v>
      </c>
      <c r="B1036" s="26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7" t="s">
        <v>2076</v>
      </c>
      <c r="G1036" t="s">
        <v>1350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ISNUMBER(_xlfn.XMATCH(CONTROL[[#This Row],[VEHIDCODE]],FLAGS[VEHIDCODE],0))</f>
        <v>1</v>
      </c>
      <c r="M1036" t="b">
        <f>ISNUMBER(_xlfn.XLOOKUP(CONTROL[[#This Row],[VEHIDCODE]],roster!A:A,roster!D:D))</f>
        <v>1</v>
      </c>
      <c r="N1036" t="b">
        <f>ISNUMBER(_xlfn.XMATCH(CONTROL[[#This Row],[VEHIDCODE]],GRAPHICS_PROPERTIES[VEHIDCODE],0))</f>
        <v>1</v>
      </c>
      <c r="O1036" s="26" t="str">
        <f>"item_"&amp;CONTROL[[#This Row],[VEHIDCODE]]</f>
        <v>item_diesel_LTZ_TE10M</v>
      </c>
      <c r="P1036" s="26" t="str">
        <f>"str_"&amp;CONTROL[[#This Row],[VEHIDCODE]]</f>
        <v>str_diesel_LTZ_TE10M</v>
      </c>
      <c r="Q1036" s="47" t="b">
        <f>_xlfn.XLOOKUP(CONTROL[[#This Row],[VEHIDCODE]],PROPERTIES[VEHIDCODE],PROPERTIES[IS_CONCEPT])="IS_CONCEPT"</f>
        <v>0</v>
      </c>
      <c r="R1036" s="8" t="b">
        <f>_xlfn.XLOOKUP(CONTROL[[#This Row],[VEHIDCODE]],PROPERTIES[VEHIDCODE],PROPERTIES[EXCLUDE])</f>
        <v>0</v>
      </c>
    </row>
    <row r="1037" spans="1:18">
      <c r="A1037" s="2" t="s">
        <v>3701</v>
      </c>
      <c r="B1037" s="26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7" t="s">
        <v>2077</v>
      </c>
      <c r="G1037" t="s">
        <v>1352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ISNUMBER(_xlfn.XMATCH(CONTROL[[#This Row],[VEHIDCODE]],FLAGS[VEHIDCODE],0))</f>
        <v>1</v>
      </c>
      <c r="M1037" t="b">
        <f>ISNUMBER(_xlfn.XLOOKUP(CONTROL[[#This Row],[VEHIDCODE]],roster!A:A,roster!D:D))</f>
        <v>1</v>
      </c>
      <c r="N1037" t="b">
        <f>ISNUMBER(_xlfn.XMATCH(CONTROL[[#This Row],[VEHIDCODE]],GRAPHICS_PROPERTIES[VEHIDCODE],0))</f>
        <v>1</v>
      </c>
      <c r="O1037" s="26" t="str">
        <f>"item_"&amp;CONTROL[[#This Row],[VEHIDCODE]]</f>
        <v>item_diesel_LTZ_TE126</v>
      </c>
      <c r="P1037" s="26" t="str">
        <f>"str_"&amp;CONTROL[[#This Row],[VEHIDCODE]]</f>
        <v>str_diesel_LTZ_TE126</v>
      </c>
      <c r="Q1037" s="47" t="b">
        <f>_xlfn.XLOOKUP(CONTROL[[#This Row],[VEHIDCODE]],PROPERTIES[VEHIDCODE],PROPERTIES[IS_CONCEPT])="IS_CONCEPT"</f>
        <v>0</v>
      </c>
      <c r="R1037" s="8" t="b">
        <f>_xlfn.XLOOKUP(CONTROL[[#This Row],[VEHIDCODE]],PROPERTIES[VEHIDCODE],PROPERTIES[EXCLUDE])</f>
        <v>0</v>
      </c>
    </row>
    <row r="1038" spans="1:18">
      <c r="A1038" s="2" t="s">
        <v>3702</v>
      </c>
      <c r="B1038" s="26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7" t="s">
        <v>2078</v>
      </c>
      <c r="G1038" t="s">
        <v>1353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ISNUMBER(_xlfn.XMATCH(CONTROL[[#This Row],[VEHIDCODE]],FLAGS[VEHIDCODE],0))</f>
        <v>1</v>
      </c>
      <c r="M1038" t="b">
        <f>ISNUMBER(_xlfn.XLOOKUP(CONTROL[[#This Row],[VEHIDCODE]],roster!A:A,roster!D:D))</f>
        <v>1</v>
      </c>
      <c r="N1038" t="b">
        <f>ISNUMBER(_xlfn.XMATCH(CONTROL[[#This Row],[VEHIDCODE]],GRAPHICS_PROPERTIES[VEHIDCODE],0))</f>
        <v>1</v>
      </c>
      <c r="O1038" s="26" t="str">
        <f>"item_"&amp;CONTROL[[#This Row],[VEHIDCODE]]</f>
        <v>item_diesel_LTZ_TE10Ut</v>
      </c>
      <c r="P1038" s="26" t="str">
        <f>"str_"&amp;CONTROL[[#This Row],[VEHIDCODE]]</f>
        <v>str_diesel_LTZ_TE10Ut</v>
      </c>
      <c r="Q1038" s="47" t="b">
        <f>_xlfn.XLOOKUP(CONTROL[[#This Row],[VEHIDCODE]],PROPERTIES[VEHIDCODE],PROPERTIES[IS_CONCEPT])="IS_CONCEPT"</f>
        <v>0</v>
      </c>
      <c r="R1038" s="8" t="b">
        <f>_xlfn.XLOOKUP(CONTROL[[#This Row],[VEHIDCODE]],PROPERTIES[VEHIDCODE],PROPERTIES[EXCLUDE])</f>
        <v>0</v>
      </c>
    </row>
    <row r="1039" spans="1:18">
      <c r="A1039" t="s">
        <v>3703</v>
      </c>
      <c r="B1039" s="26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9">
        <f ca="1">_xlfn.MAXIFS(INDIRECT("E2:E"&amp;ROW()-1,TRUE),INDIRECT("D2:D"&amp;ROW()-1,TRUE),CONTROL[[#This Row],[VEHID_ID_CATEGORY]])+1</f>
        <v>5205</v>
      </c>
      <c r="F1039" s="37" t="s">
        <v>3704</v>
      </c>
      <c r="G1039" t="s">
        <v>3705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ISNUMBER(_xlfn.XMATCH(CONTROL[[#This Row],[VEHIDCODE]],FLAGS[VEHIDCODE],0))</f>
        <v>1</v>
      </c>
      <c r="M1039" t="b">
        <f>ISNUMBER(_xlfn.XLOOKUP(CONTROL[[#This Row],[VEHIDCODE]],roster!A:A,roster!D:D))</f>
        <v>1</v>
      </c>
      <c r="N1039" t="b">
        <f>ISNUMBER(_xlfn.XMATCH(CONTROL[[#This Row],[VEHIDCODE]],GRAPHICS_PROPERTIES[VEHIDCODE],0))</f>
        <v>1</v>
      </c>
      <c r="O1039" s="26" t="str">
        <f>"item_"&amp;CONTROL[[#This Row],[VEHIDCODE]]</f>
        <v>item_diesel_Faur_A20DP</v>
      </c>
      <c r="P1039" s="26" t="str">
        <f>"str_"&amp;CONTROL[[#This Row],[VEHIDCODE]]</f>
        <v>str_diesel_Faur_A20DP</v>
      </c>
      <c r="Q1039" s="47" t="b">
        <f>_xlfn.XLOOKUP(CONTROL[[#This Row],[VEHIDCODE]],PROPERTIES[VEHIDCODE],PROPERTIES[IS_CONCEPT])="IS_CONCEPT"</f>
        <v>0</v>
      </c>
      <c r="R1039" s="8" t="b">
        <f>_xlfn.XLOOKUP(CONTROL[[#This Row],[VEHIDCODE]],PROPERTIES[VEHIDCODE],PROPERTIES[EXCLUDE])</f>
        <v>0</v>
      </c>
    </row>
    <row r="1040" spans="1:18">
      <c r="A1040" t="s">
        <v>3706</v>
      </c>
      <c r="B1040" s="26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7" t="s">
        <v>3707</v>
      </c>
      <c r="G1040" t="s">
        <v>3705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ISNUMBER(_xlfn.XMATCH(CONTROL[[#This Row],[VEHIDCODE]],FLAGS[VEHIDCODE],0))</f>
        <v>1</v>
      </c>
      <c r="M1040" t="b">
        <f>ISNUMBER(_xlfn.XLOOKUP(CONTROL[[#This Row],[VEHIDCODE]],roster!A:A,roster!D:D))</f>
        <v>1</v>
      </c>
      <c r="N1040" t="b">
        <f>ISNUMBER(_xlfn.XMATCH(CONTROL[[#This Row],[VEHIDCODE]],GRAPHICS_PROPERTIES[VEHIDCODE],0))</f>
        <v>1</v>
      </c>
      <c r="O1040" s="26" t="str">
        <f>"item_"&amp;CONTROL[[#This Row],[VEHIDCODE]]</f>
        <v>item_mu_Coach_Gen4_Faur_AD20DP_Trailer</v>
      </c>
      <c r="P1040" s="26" t="str">
        <f>"str_"&amp;CONTROL[[#This Row],[VEHIDCODE]]</f>
        <v>str_mu_Coach_Gen4_Faur_AD20DP_Trailer</v>
      </c>
      <c r="Q1040" s="47" t="b">
        <f>_xlfn.XLOOKUP(CONTROL[[#This Row],[VEHIDCODE]],PROPERTIES[VEHIDCODE],PROPERTIES[IS_CONCEPT])="IS_CONCEPT"</f>
        <v>0</v>
      </c>
      <c r="R1040" s="8" t="b">
        <f>_xlfn.XLOOKUP(CONTROL[[#This Row],[VEHIDCODE]],PROPERTIES[VEHIDCODE],PROPERTIES[EXCLUDE])</f>
        <v>0</v>
      </c>
    </row>
    <row r="1041" spans="1:18">
      <c r="A1041" t="s">
        <v>3708</v>
      </c>
      <c r="B1041" s="26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5206</v>
      </c>
      <c r="F1041" s="37" t="s">
        <v>3709</v>
      </c>
      <c r="G1041" t="s">
        <v>3710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ISNUMBER(_xlfn.XMATCH(CONTROL[[#This Row],[VEHIDCODE]],FLAGS[VEHIDCODE],0))</f>
        <v>1</v>
      </c>
      <c r="M1041" t="b">
        <f>ISNUMBER(_xlfn.XLOOKUP(CONTROL[[#This Row],[VEHIDCODE]],roster!A:A,roster!D:D))</f>
        <v>1</v>
      </c>
      <c r="N1041" t="b">
        <f>ISNUMBER(_xlfn.XMATCH(CONTROL[[#This Row],[VEHIDCODE]],GRAPHICS_PROPERTIES[VEHIDCODE],0))</f>
        <v>1</v>
      </c>
      <c r="O1041" s="26" t="str">
        <f>"item_"&amp;CONTROL[[#This Row],[VEHIDCODE]]</f>
        <v>item_diesel_Faur_L45H</v>
      </c>
      <c r="P1041" s="26" t="str">
        <f>"str_"&amp;CONTROL[[#This Row],[VEHIDCODE]]</f>
        <v>str_diesel_Faur_L45H</v>
      </c>
      <c r="Q1041" s="47" t="b">
        <f>_xlfn.XLOOKUP(CONTROL[[#This Row],[VEHIDCODE]],PROPERTIES[VEHIDCODE],PROPERTIES[IS_CONCEPT])="IS_CONCEPT"</f>
        <v>0</v>
      </c>
      <c r="R1041" s="8" t="b">
        <f>_xlfn.XLOOKUP(CONTROL[[#This Row],[VEHIDCODE]],PROPERTIES[VEHIDCODE],PROPERTIES[EXCLUDE])</f>
        <v>0</v>
      </c>
    </row>
    <row r="1042" spans="1:18">
      <c r="A1042" s="2" t="s">
        <v>3712</v>
      </c>
      <c r="B1042" s="26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7" t="s">
        <v>3711</v>
      </c>
      <c r="G1042" t="s">
        <v>3713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ISNUMBER(_xlfn.XMATCH(CONTROL[[#This Row],[VEHIDCODE]],FLAGS[VEHIDCODE],0))</f>
        <v>1</v>
      </c>
      <c r="M1042" t="b">
        <f>ISNUMBER(_xlfn.XLOOKUP(CONTROL[[#This Row],[VEHIDCODE]],roster!A:A,roster!D:D))</f>
        <v>1</v>
      </c>
      <c r="N1042" t="b">
        <f>ISNUMBER(_xlfn.XMATCH(CONTROL[[#This Row],[VEHIDCODE]],GRAPHICS_PROPERTIES[VEHIDCODE],0))</f>
        <v>1</v>
      </c>
      <c r="O1042" s="26" t="str">
        <f>"item_"&amp;CONTROL[[#This Row],[VEHIDCODE]]</f>
        <v>item_mu_Coach_Gen3_Pafawag_3Aw</v>
      </c>
      <c r="P1042" s="26" t="str">
        <f>"str_"&amp;CONTROL[[#This Row],[VEHIDCODE]]</f>
        <v>str_mu_Coach_Gen3_Pafawag_3Aw</v>
      </c>
      <c r="Q1042" s="47" t="b">
        <f>_xlfn.XLOOKUP(CONTROL[[#This Row],[VEHIDCODE]],PROPERTIES[VEHIDCODE],PROPERTIES[IS_CONCEPT])="IS_CONCEPT"</f>
        <v>0</v>
      </c>
      <c r="R1042" s="8" t="b">
        <f>_xlfn.XLOOKUP(CONTROL[[#This Row],[VEHIDCODE]],PROPERTIES[VEHIDCODE],PROPERTIES[EXCLUDE])</f>
        <v>0</v>
      </c>
    </row>
    <row r="1043" spans="1:18">
      <c r="A1043" t="s">
        <v>3714</v>
      </c>
      <c r="B1043" s="26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5207</v>
      </c>
      <c r="F1043" s="37" t="s">
        <v>3715</v>
      </c>
      <c r="G1043" t="s">
        <v>3716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ISNUMBER(_xlfn.XMATCH(CONTROL[[#This Row],[VEHIDCODE]],FLAGS[VEHIDCODE],0))</f>
        <v>1</v>
      </c>
      <c r="M1043" t="b">
        <f>ISNUMBER(_xlfn.XLOOKUP(CONTROL[[#This Row],[VEHIDCODE]],roster!A:A,roster!D:D))</f>
        <v>1</v>
      </c>
      <c r="N1043" t="b">
        <f>ISNUMBER(_xlfn.XMATCH(CONTROL[[#This Row],[VEHIDCODE]],GRAPHICS_PROPERTIES[VEHIDCODE],0))</f>
        <v>1</v>
      </c>
      <c r="O1043" s="26" t="str">
        <f>"item_"&amp;CONTROL[[#This Row],[VEHIDCODE]]</f>
        <v>item_diesel_KMZ_TU7_TGM40</v>
      </c>
      <c r="P1043" s="26" t="str">
        <f>"str_"&amp;CONTROL[[#This Row],[VEHIDCODE]]</f>
        <v>str_diesel_KMZ_TU7_TGM40</v>
      </c>
      <c r="Q1043" s="47" t="b">
        <f>_xlfn.XLOOKUP(CONTROL[[#This Row],[VEHIDCODE]],PROPERTIES[VEHIDCODE],PROPERTIES[IS_CONCEPT])="IS_CONCEPT"</f>
        <v>0</v>
      </c>
      <c r="R1043" s="8" t="b">
        <f>_xlfn.XLOOKUP(CONTROL[[#This Row],[VEHIDCODE]],PROPERTIES[VEHIDCODE],PROPERTIES[EXCLUDE])</f>
        <v>0</v>
      </c>
    </row>
    <row r="1044" spans="1:18">
      <c r="A1044" t="s">
        <v>3719</v>
      </c>
      <c r="B1044" s="26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7" t="s">
        <v>3718</v>
      </c>
      <c r="G1044" t="s">
        <v>3721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ISNUMBER(_xlfn.XMATCH(CONTROL[[#This Row],[VEHIDCODE]],FLAGS[VEHIDCODE],0))</f>
        <v>1</v>
      </c>
      <c r="M1044" t="b">
        <f>ISNUMBER(_xlfn.XLOOKUP(CONTROL[[#This Row],[VEHIDCODE]],roster!A:A,roster!D:D))</f>
        <v>1</v>
      </c>
      <c r="N1044" t="b">
        <f>ISNUMBER(_xlfn.XMATCH(CONTROL[[#This Row],[VEHIDCODE]],GRAPHICS_PROPERTIES[VEHIDCODE],0))</f>
        <v>1</v>
      </c>
      <c r="O1044" s="26" t="str">
        <f>"item_"&amp;CONTROL[[#This Row],[VEHIDCODE]]</f>
        <v>item_electric_Alsthom_CC_7100</v>
      </c>
      <c r="P1044" s="26" t="str">
        <f>"str_"&amp;CONTROL[[#This Row],[VEHIDCODE]]</f>
        <v>str_electric_Alsthom_CC_7100</v>
      </c>
      <c r="Q1044" s="47" t="b">
        <f>_xlfn.XLOOKUP(CONTROL[[#This Row],[VEHIDCODE]],PROPERTIES[VEHIDCODE],PROPERTIES[IS_CONCEPT])="IS_CONCEPT"</f>
        <v>0</v>
      </c>
      <c r="R1044" s="8" t="b">
        <f>_xlfn.XLOOKUP(CONTROL[[#This Row],[VEHIDCODE]],PROPERTIES[VEHIDCODE],PROPERTIES[EXCLUDE])</f>
        <v>0</v>
      </c>
    </row>
    <row r="1045" spans="1:18">
      <c r="A1045" t="s">
        <v>3717</v>
      </c>
      <c r="B1045" s="26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7" t="s">
        <v>3720</v>
      </c>
      <c r="G1045" t="s">
        <v>3722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ISNUMBER(_xlfn.XMATCH(CONTROL[[#This Row],[VEHIDCODE]],FLAGS[VEHIDCODE],0))</f>
        <v>1</v>
      </c>
      <c r="M1045" t="b">
        <f>ISNUMBER(_xlfn.XLOOKUP(CONTROL[[#This Row],[VEHIDCODE]],roster!A:A,roster!D:D))</f>
        <v>1</v>
      </c>
      <c r="N1045" t="b">
        <f>ISNUMBER(_xlfn.XMATCH(CONTROL[[#This Row],[VEHIDCODE]],GRAPHICS_PROPERTIES[VEHIDCODE],0))</f>
        <v>1</v>
      </c>
      <c r="O1045" s="26" t="str">
        <f>"item_"&amp;CONTROL[[#This Row],[VEHIDCODE]]</f>
        <v>item_electric_Alsthom_F_Series</v>
      </c>
      <c r="P1045" s="26" t="str">
        <f>"str_"&amp;CONTROL[[#This Row],[VEHIDCODE]]</f>
        <v>str_electric_Alsthom_F_Series</v>
      </c>
      <c r="Q1045" s="47" t="b">
        <f>_xlfn.XLOOKUP(CONTROL[[#This Row],[VEHIDCODE]],PROPERTIES[VEHIDCODE],PROPERTIES[IS_CONCEPT])="IS_CONCEPT"</f>
        <v>0</v>
      </c>
      <c r="R1045" s="8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104" priority="28" operator="containsText" text=" ">
      <formula>NOT(ISERROR(SEARCH(" ",A1)))</formula>
    </cfRule>
  </conditionalFormatting>
  <conditionalFormatting sqref="A942:A943">
    <cfRule type="containsText" dxfId="103" priority="23" operator="containsText" text=" ">
      <formula>NOT(ISERROR(SEARCH(" ",A942)))</formula>
    </cfRule>
  </conditionalFormatting>
  <conditionalFormatting sqref="A946:A950 A952:A953">
    <cfRule type="containsText" dxfId="102" priority="35" operator="containsText" text=" ">
      <formula>NOT(ISERROR(SEARCH(" ",A946)))</formula>
    </cfRule>
  </conditionalFormatting>
  <conditionalFormatting sqref="A956:A971">
    <cfRule type="containsText" dxfId="101" priority="21" operator="containsText" text=" ">
      <formula>NOT(ISERROR(SEARCH(" ",A956)))</formula>
    </cfRule>
  </conditionalFormatting>
  <conditionalFormatting sqref="A979:A982">
    <cfRule type="containsText" dxfId="100" priority="19" operator="containsText" text=" ">
      <formula>NOT(ISERROR(SEARCH(" ",A979)))</formula>
    </cfRule>
  </conditionalFormatting>
  <conditionalFormatting sqref="A1031:A1042">
    <cfRule type="containsText" dxfId="99" priority="1" operator="containsText" text=" ">
      <formula>NOT(ISERROR(SEARCH(" ",A1031)))</formula>
    </cfRule>
  </conditionalFormatting>
  <conditionalFormatting sqref="B2:E1045 K2:N1045">
    <cfRule type="cellIs" dxfId="98" priority="6" operator="equal">
      <formula>FALSE</formula>
    </cfRule>
  </conditionalFormatting>
  <conditionalFormatting sqref="E2:E1048576">
    <cfRule type="duplicateValues" dxfId="97" priority="34"/>
  </conditionalFormatting>
  <conditionalFormatting sqref="E1006:E1021">
    <cfRule type="cellIs" dxfId="96" priority="13" operator="equal">
      <formula>FALSE</formula>
    </cfRule>
  </conditionalFormatting>
  <conditionalFormatting sqref="E1024:E1045">
    <cfRule type="cellIs" dxfId="95" priority="4" operator="equal">
      <formula>FALSE</formula>
    </cfRule>
  </conditionalFormatting>
  <conditionalFormatting sqref="F1:F1048576">
    <cfRule type="containsText" dxfId="94" priority="36" operator="containsText" text=")">
      <formula>NOT(ISERROR(SEARCH(")",F1)))</formula>
    </cfRule>
    <cfRule type="containsText" dxfId="93" priority="37" operator="containsText" text="(">
      <formula>NOT(ISERROR(SEARCH("(",F1)))</formula>
    </cfRule>
  </conditionalFormatting>
  <conditionalFormatting sqref="H2:H1045 H987:I987">
    <cfRule type="containsText" dxfId="92" priority="38" operator="containsText" text="FALSE">
      <formula>NOT(ISERROR(SEARCH("FALSE",H2)))</formula>
    </cfRule>
  </conditionalFormatting>
  <conditionalFormatting sqref="H1:N1">
    <cfRule type="cellIs" dxfId="91" priority="32" operator="equal">
      <formula>FALSE</formula>
    </cfRule>
  </conditionalFormatting>
  <conditionalFormatting sqref="I2:I1045">
    <cfRule type="containsText" dxfId="90" priority="42" operator="containsText" text="FALSE">
      <formula>NOT(ISERROR(SEARCH("FALSE",I2)))</formula>
    </cfRule>
  </conditionalFormatting>
  <conditionalFormatting sqref="J2:P1045">
    <cfRule type="cellIs" dxfId="89" priority="7" operator="equal">
      <formula>FALSE</formula>
    </cfRule>
  </conditionalFormatting>
  <conditionalFormatting sqref="K896:P993">
    <cfRule type="cellIs" dxfId="88" priority="20" operator="equal">
      <formula>FALSE</formula>
    </cfRule>
  </conditionalFormatting>
  <conditionalFormatting sqref="K1022:P1023">
    <cfRule type="cellIs" dxfId="87" priority="10" operator="equal">
      <formula>FALSE</formula>
    </cfRule>
  </conditionalFormatting>
  <conditionalFormatting sqref="O1:Q1">
    <cfRule type="cellIs" dxfId="86" priority="40" operator="equal">
      <formula>FALSE</formula>
    </cfRule>
  </conditionalFormatting>
  <conditionalFormatting sqref="Q2:R1048576">
    <cfRule type="cellIs" dxfId="85" priority="16" operator="equal">
      <formula>FALSE</formula>
    </cfRule>
  </conditionalFormatting>
  <conditionalFormatting sqref="R1">
    <cfRule type="cellIs" dxfId="84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D1045"/>
  <sheetViews>
    <sheetView zoomScaleNormal="100" workbookViewId="0">
      <pane xSplit="1" ySplit="1" topLeftCell="B618" activePane="bottomRight" state="frozen"/>
      <selection pane="topRight" activeCell="B1" sqref="B1"/>
      <selection pane="bottomLeft" activeCell="A2" sqref="A2"/>
      <selection pane="bottomRight" activeCell="AA633" sqref="AA633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5" bestFit="1" customWidth="1"/>
    <col min="6" max="6" width="15.26953125" customWidth="1"/>
    <col min="7" max="7" width="15.26953125" style="45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8" customWidth="1"/>
    <col min="18" max="18" width="10.6328125" customWidth="1"/>
    <col min="19" max="19" width="9.26953125" customWidth="1"/>
    <col min="20" max="20" width="8.453125" style="25" customWidth="1"/>
    <col min="21" max="21" width="8.453125" customWidth="1"/>
    <col min="22" max="22" width="8.453125" style="25" customWidth="1"/>
    <col min="23" max="23" width="8.453125" customWidth="1"/>
    <col min="24" max="24" width="14.453125" style="22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9" width="11.81640625" customWidth="1"/>
    <col min="30" max="30" width="11.81640625" style="2" customWidth="1"/>
    <col min="31" max="31" width="15.6328125" bestFit="1" customWidth="1"/>
    <col min="32" max="32" width="23" hidden="1" customWidth="1"/>
    <col min="33" max="33" width="35.453125" hidden="1" customWidth="1"/>
    <col min="34" max="34" width="15.6328125" style="2" hidden="1" customWidth="1"/>
    <col min="35" max="35" width="22.1796875" bestFit="1" customWidth="1"/>
    <col min="36" max="36" width="15.6328125" style="40" bestFit="1" customWidth="1"/>
    <col min="40" max="40" width="34.453125" bestFit="1" customWidth="1"/>
    <col min="41" max="41" width="33.36328125" bestFit="1" customWidth="1"/>
    <col min="42" max="42" width="15.6328125" bestFit="1" customWidth="1"/>
    <col min="44" max="44" width="17.81640625" bestFit="1" customWidth="1"/>
    <col min="45" max="45" width="12" bestFit="1" customWidth="1"/>
    <col min="46" max="46" width="12.36328125" bestFit="1" customWidth="1"/>
    <col min="47" max="47" width="14.7265625" bestFit="1" customWidth="1"/>
    <col min="51" max="52" width="18.26953125" bestFit="1" customWidth="1"/>
    <col min="53" max="53" width="22.26953125" bestFit="1" customWidth="1"/>
    <col min="54" max="54" width="19.1796875" style="7" bestFit="1" customWidth="1"/>
    <col min="55" max="55" width="17.453125" style="8" bestFit="1" customWidth="1"/>
    <col min="56" max="56" width="10" style="9" bestFit="1" customWidth="1"/>
    <col min="57" max="57" width="24" bestFit="1" customWidth="1"/>
    <col min="58" max="58" width="23.7265625" bestFit="1" customWidth="1"/>
    <col min="59" max="59" width="26.7265625" bestFit="1" customWidth="1"/>
    <col min="60" max="60" width="26.90625" bestFit="1" customWidth="1"/>
    <col min="61" max="61" width="19" bestFit="1" customWidth="1"/>
    <col min="62" max="62" width="25.1796875" bestFit="1" customWidth="1"/>
    <col min="63" max="63" width="20.6328125" bestFit="1" customWidth="1"/>
    <col min="64" max="64" width="11.1796875" customWidth="1"/>
    <col min="65" max="66" width="21.36328125" customWidth="1"/>
    <col min="67" max="67" width="20.90625" bestFit="1" customWidth="1"/>
    <col min="68" max="68" width="18.90625" bestFit="1" customWidth="1"/>
    <col min="70" max="72" width="11.1796875" customWidth="1"/>
    <col min="73" max="73" width="11.54296875" bestFit="1" customWidth="1"/>
  </cols>
  <sheetData>
    <row r="1" spans="1:56" s="1" customFormat="1" ht="61.5" customHeight="1">
      <c r="A1" s="1" t="s">
        <v>0</v>
      </c>
      <c r="B1" s="1" t="s">
        <v>5</v>
      </c>
      <c r="C1" s="1" t="s">
        <v>1991</v>
      </c>
      <c r="D1" s="16" t="s">
        <v>2</v>
      </c>
      <c r="E1" s="46" t="s">
        <v>2646</v>
      </c>
      <c r="F1" s="1" t="s">
        <v>567</v>
      </c>
      <c r="G1" s="46" t="s">
        <v>1069</v>
      </c>
      <c r="H1" s="16" t="s">
        <v>3</v>
      </c>
      <c r="I1" s="1" t="s">
        <v>1</v>
      </c>
      <c r="J1" s="1" t="s">
        <v>4</v>
      </c>
      <c r="K1" s="1" t="s">
        <v>6</v>
      </c>
      <c r="L1" s="1" t="s">
        <v>1776</v>
      </c>
      <c r="M1" s="16" t="s">
        <v>7</v>
      </c>
      <c r="N1" s="16" t="s">
        <v>372</v>
      </c>
      <c r="O1" s="16" t="s">
        <v>8</v>
      </c>
      <c r="P1" s="16" t="s">
        <v>9</v>
      </c>
      <c r="Q1" s="27" t="s">
        <v>16</v>
      </c>
      <c r="R1" s="1" t="s">
        <v>10</v>
      </c>
      <c r="S1" s="1" t="s">
        <v>11</v>
      </c>
      <c r="T1" s="23" t="s">
        <v>1076</v>
      </c>
      <c r="U1" s="23" t="s">
        <v>1077</v>
      </c>
      <c r="V1" s="23" t="s">
        <v>1078</v>
      </c>
      <c r="W1" s="16" t="s">
        <v>12</v>
      </c>
      <c r="X1" s="16" t="s">
        <v>13</v>
      </c>
      <c r="Y1" s="6" t="s">
        <v>14</v>
      </c>
      <c r="Z1" s="6" t="s">
        <v>15</v>
      </c>
      <c r="AA1" t="s">
        <v>49</v>
      </c>
      <c r="AB1" t="s">
        <v>50</v>
      </c>
      <c r="AC1" t="s">
        <v>51</v>
      </c>
      <c r="AD1" s="2" t="s">
        <v>3601</v>
      </c>
      <c r="AE1" s="1" t="s">
        <v>254</v>
      </c>
      <c r="AF1" s="16" t="s">
        <v>331</v>
      </c>
      <c r="AG1" s="16" t="s">
        <v>332</v>
      </c>
      <c r="AH1" s="16" t="s">
        <v>348</v>
      </c>
      <c r="AI1" s="16" t="s">
        <v>1075</v>
      </c>
      <c r="AJ1" s="48" t="s">
        <v>1302</v>
      </c>
      <c r="AK1" s="4" t="s">
        <v>1949</v>
      </c>
    </row>
    <row r="2" spans="1:56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5" t="str">
        <f>_xlfn.XLOOKUP(PROPERTIES[[#This Row],[VEHIDCODE]],CONTROL[VEHIDCODE],CONTROL[ENGLISH])</f>
        <v>Maglev Unit Wagon</v>
      </c>
      <c r="G2" s="45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8">
        <v>0</v>
      </c>
      <c r="R2">
        <v>0</v>
      </c>
      <c r="S2">
        <v>0</v>
      </c>
      <c r="T2" s="25">
        <v>0</v>
      </c>
      <c r="U2" s="24">
        <f>IFERROR(PROPERTIES[[#This Row],[TE_STARTING_KN]]/(PROPERTIES[[#This Row],[WEIGHT]]*9.81),0)</f>
        <v>0</v>
      </c>
      <c r="V2" s="24">
        <v>0.3</v>
      </c>
      <c r="W2" s="21">
        <f>ROUND(IF(IFERROR(PROPERTIES[[#This Row],[TE_COEFFICIENT_CALC]],0)=0,PROPERTIES[[#This Row],[TE_COEFFICIENT_MANUAL]],PROPERTIES[[#This Row],[TE_COEFFICIENT_CALC]]),3)</f>
        <v>0.3</v>
      </c>
      <c r="X2" s="43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1">
        <v>0</v>
      </c>
      <c r="Z2" s="7">
        <v>0</v>
      </c>
      <c r="AA2" t="s">
        <v>250</v>
      </c>
      <c r="AB2" t="s">
        <v>238</v>
      </c>
      <c r="AC2" t="s">
        <v>238</v>
      </c>
      <c r="AD2" s="2" t="s">
        <v>238</v>
      </c>
      <c r="AE2" s="2" t="s">
        <v>253</v>
      </c>
      <c r="AF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2" s="2" t="str">
        <f>SUBSTITUTE(SUBSTITUTE(PROPERTIES[[#This Row],[PURCHASECOST_VALUE]], "PURCHASECOST_", ""), "_VALUE", "")</f>
        <v>MMU</v>
      </c>
      <c r="AI2" s="7" t="str" cm="1">
        <f t="array" ref="AI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2" s="43" t="b">
        <v>0</v>
      </c>
      <c r="AK2" s="8" t="b">
        <v>0</v>
      </c>
      <c r="BB2"/>
      <c r="BC2"/>
      <c r="BD2"/>
    </row>
    <row r="3" spans="1:56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5" t="str">
        <f>_xlfn.XLOOKUP(PROPERTIES[[#This Row],[VEHIDCODE]],CONTROL[VEHIDCODE],CONTROL[ENGLISH])</f>
        <v>Maglev Unit Wagon</v>
      </c>
      <c r="G3" s="45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8">
        <v>0</v>
      </c>
      <c r="R3">
        <v>0</v>
      </c>
      <c r="S3">
        <v>0</v>
      </c>
      <c r="T3" s="25">
        <v>0</v>
      </c>
      <c r="U3" s="24">
        <f>IFERROR(PROPERTIES[[#This Row],[TE_STARTING_KN]]/(PROPERTIES[[#This Row],[WEIGHT]]*9.81),0)</f>
        <v>0</v>
      </c>
      <c r="V3" s="24">
        <v>0.3</v>
      </c>
      <c r="W3" s="21">
        <f>ROUND(IF(IFERROR(PROPERTIES[[#This Row],[TE_COEFFICIENT_CALC]],0)=0,PROPERTIES[[#This Row],[TE_COEFFICIENT_MANUAL]],PROPERTIES[[#This Row],[TE_COEFFICIENT_CALC]]),3)</f>
        <v>0.3</v>
      </c>
      <c r="X3" s="9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1">
        <v>0</v>
      </c>
      <c r="Z3" s="7">
        <v>0</v>
      </c>
      <c r="AA3" t="s">
        <v>250</v>
      </c>
      <c r="AB3" t="s">
        <v>238</v>
      </c>
      <c r="AC3" t="s">
        <v>238</v>
      </c>
      <c r="AD3" s="2" t="s">
        <v>238</v>
      </c>
      <c r="AE3" s="2" t="s">
        <v>253</v>
      </c>
      <c r="AF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3" s="2" t="str">
        <f>SUBSTITUTE(SUBSTITUTE(PROPERTIES[[#This Row],[PURCHASECOST_VALUE]], "PURCHASECOST_", ""), "_VALUE", "")</f>
        <v>MMU</v>
      </c>
      <c r="AI3" s="7" t="str" cm="1">
        <f t="array" ref="AI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3" s="43" t="b">
        <v>0</v>
      </c>
      <c r="AK3" s="8" t="b">
        <v>0</v>
      </c>
      <c r="BB3"/>
      <c r="BC3"/>
      <c r="BD3"/>
    </row>
    <row r="4" spans="1:56">
      <c r="A4" s="2" t="s">
        <v>2729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5" t="str">
        <f>_xlfn.XLOOKUP(PROPERTIES[[#This Row],[VEHIDCODE]],CONTROL[VEHIDCODE],CONTROL[ENGLISH])</f>
        <v>Komarek NOLB 1</v>
      </c>
      <c r="F4" t="s">
        <v>579</v>
      </c>
      <c r="G4" s="45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8">
        <v>8</v>
      </c>
      <c r="R4">
        <v>39</v>
      </c>
      <c r="S4">
        <v>35</v>
      </c>
      <c r="T4" s="25">
        <v>0</v>
      </c>
      <c r="U4" s="24">
        <f>IFERROR(PROPERTIES[[#This Row],[TE_STARTING_KN]]/(PROPERTIES[[#This Row],[WEIGHT]]*9.81),0)</f>
        <v>0</v>
      </c>
      <c r="V4" s="24">
        <v>0.18</v>
      </c>
      <c r="W4" s="21">
        <f>ROUND(IF(IFERROR(PROPERTIES[[#This Row],[TE_COEFFICIENT_CALC]],0)=0,PROPERTIES[[#This Row],[TE_COEFFICIENT_MANUAL]],PROPERTIES[[#This Row],[TE_COEFFICIENT_CALC]]),3)</f>
        <v>0.18</v>
      </c>
      <c r="X4" s="9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1">
        <v>0</v>
      </c>
      <c r="Z4" s="7">
        <v>0</v>
      </c>
      <c r="AA4" t="s">
        <v>239</v>
      </c>
      <c r="AB4" t="s">
        <v>238</v>
      </c>
      <c r="AC4" t="s">
        <v>238</v>
      </c>
      <c r="AD4" s="2" t="s">
        <v>238</v>
      </c>
      <c r="AE4" s="2" t="s">
        <v>253</v>
      </c>
      <c r="AF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4" s="2" t="str">
        <f>SUBSTITUTE(SUBSTITUTE(PROPERTIES[[#This Row],[PURCHASECOST_VALUE]], "PURCHASECOST_", ""), "_VALUE", "")</f>
        <v>STEAMRAILBUS</v>
      </c>
      <c r="AI4" s="7" t="str" cm="1">
        <f t="array" ref="AI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" s="43" t="b">
        <v>0</v>
      </c>
      <c r="AK4" s="8" t="b">
        <v>0</v>
      </c>
      <c r="BB4"/>
      <c r="BC4"/>
      <c r="BD4"/>
    </row>
    <row r="5" spans="1:56">
      <c r="A5" s="2" t="s">
        <v>2730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5" t="str">
        <f>_xlfn.XLOOKUP(PROPERTIES[[#This Row],[VEHIDCODE]],CONTROL[VEHIDCODE],CONTROL[ENGLISH])</f>
        <v>Kerr, Stuart &amp; Co. 86</v>
      </c>
      <c r="F5" t="s">
        <v>675</v>
      </c>
      <c r="G5" s="45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8">
        <v>47</v>
      </c>
      <c r="R5">
        <v>170</v>
      </c>
      <c r="S5">
        <v>55</v>
      </c>
      <c r="T5" s="25">
        <v>0</v>
      </c>
      <c r="U5" s="24">
        <f>IFERROR(PROPERTIES[[#This Row],[TE_STARTING_KN]]/(PROPERTIES[[#This Row],[WEIGHT]]*9.81),0)</f>
        <v>0</v>
      </c>
      <c r="V5" s="24">
        <v>0.08</v>
      </c>
      <c r="W5" s="21">
        <f>ROUND(IF(IFERROR(PROPERTIES[[#This Row],[TE_COEFFICIENT_CALC]],0)=0,PROPERTIES[[#This Row],[TE_COEFFICIENT_MANUAL]],PROPERTIES[[#This Row],[TE_COEFFICIENT_CALC]]),3)</f>
        <v>0.08</v>
      </c>
      <c r="X5" s="9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1">
        <v>0</v>
      </c>
      <c r="Z5" s="7">
        <v>0</v>
      </c>
      <c r="AA5" t="s">
        <v>240</v>
      </c>
      <c r="AB5" t="s">
        <v>238</v>
      </c>
      <c r="AC5" t="s">
        <v>238</v>
      </c>
      <c r="AD5" s="2" t="s">
        <v>238</v>
      </c>
      <c r="AE5" s="2" t="s">
        <v>253</v>
      </c>
      <c r="AF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5" s="2" t="str">
        <f>SUBSTITUTE(SUBSTITUTE(PROPERTIES[[#This Row],[PURCHASECOST_VALUE]], "PURCHASECOST_", ""), "_VALUE", "")</f>
        <v>STEAMRAILBUS</v>
      </c>
      <c r="AI5" s="7" t="str" cm="1">
        <f t="array" ref="AI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" s="43" t="b">
        <v>0</v>
      </c>
      <c r="AK5" s="8" t="b">
        <v>0</v>
      </c>
      <c r="BB5"/>
      <c r="BC5"/>
      <c r="BD5"/>
    </row>
    <row r="6" spans="1:56">
      <c r="A6" s="2" t="s">
        <v>2731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5" t="str">
        <f>_xlfn.XLOOKUP(PROPERTIES[[#This Row],[VEHIDCODE]],CONTROL[VEHIDCODE],CONTROL[ENGLISH])</f>
        <v>Victorian Railways Rowan Railmotor</v>
      </c>
      <c r="F6" t="s">
        <v>580</v>
      </c>
      <c r="G6" s="45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8">
        <v>15</v>
      </c>
      <c r="R6">
        <v>40</v>
      </c>
      <c r="S6">
        <v>48</v>
      </c>
      <c r="T6" s="25">
        <v>16</v>
      </c>
      <c r="U6" s="24">
        <f>IFERROR(PROPERTIES[[#This Row],[TE_STARTING_KN]]/(PROPERTIES[[#This Row],[WEIGHT]]*9.81),0)</f>
        <v>0.10873258579680598</v>
      </c>
      <c r="V6" s="24">
        <v>0</v>
      </c>
      <c r="W6" s="21">
        <f>ROUND(IF(IFERROR(PROPERTIES[[#This Row],[TE_COEFFICIENT_CALC]],0)=0,PROPERTIES[[#This Row],[TE_COEFFICIENT_MANUAL]],PROPERTIES[[#This Row],[TE_COEFFICIENT_CALC]]),3)</f>
        <v>0.109</v>
      </c>
      <c r="X6" s="9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1">
        <v>0</v>
      </c>
      <c r="Z6" s="7">
        <v>0</v>
      </c>
      <c r="AA6" t="s">
        <v>241</v>
      </c>
      <c r="AB6" t="s">
        <v>238</v>
      </c>
      <c r="AC6" t="s">
        <v>238</v>
      </c>
      <c r="AD6" s="2" t="s">
        <v>238</v>
      </c>
      <c r="AE6" s="2" t="s">
        <v>253</v>
      </c>
      <c r="AF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6" s="2" t="str">
        <f>SUBSTITUTE(SUBSTITUTE(PROPERTIES[[#This Row],[PURCHASECOST_VALUE]], "PURCHASECOST_", ""), "_VALUE", "")</f>
        <v>STEAMRAILBUS</v>
      </c>
      <c r="AI6" s="7" t="str" cm="1">
        <f t="array" ref="AI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" s="43" t="b">
        <v>0</v>
      </c>
      <c r="AK6" s="8" t="b">
        <v>0</v>
      </c>
      <c r="BB6"/>
      <c r="BC6"/>
      <c r="BD6"/>
    </row>
    <row r="7" spans="1:56">
      <c r="A7" s="2" t="s">
        <v>2732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5" t="str">
        <f>_xlfn.XLOOKUP(PROPERTIES[[#This Row],[VEHIDCODE]],CONTROL[VEHIDCODE],CONTROL[ENGLISH])</f>
        <v>Esslingen Czm 1/2</v>
      </c>
      <c r="F7" t="s">
        <v>609</v>
      </c>
      <c r="G7" s="45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8">
        <v>21</v>
      </c>
      <c r="R7">
        <v>99</v>
      </c>
      <c r="S7">
        <v>45</v>
      </c>
      <c r="T7" s="25">
        <v>0</v>
      </c>
      <c r="U7" s="24">
        <f>IFERROR(PROPERTIES[[#This Row],[TE_STARTING_KN]]/(PROPERTIES[[#This Row],[WEIGHT]]*9.81),0)</f>
        <v>0</v>
      </c>
      <c r="V7" s="24">
        <v>0.34</v>
      </c>
      <c r="W7" s="21">
        <f>ROUND(IF(IFERROR(PROPERTIES[[#This Row],[TE_COEFFICIENT_CALC]],0)=0,PROPERTIES[[#This Row],[TE_COEFFICIENT_MANUAL]],PROPERTIES[[#This Row],[TE_COEFFICIENT_CALC]]),3)</f>
        <v>0.34</v>
      </c>
      <c r="X7" s="9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1">
        <v>0</v>
      </c>
      <c r="Z7" s="7">
        <v>0</v>
      </c>
      <c r="AA7" t="s">
        <v>239</v>
      </c>
      <c r="AB7" t="s">
        <v>238</v>
      </c>
      <c r="AC7" t="s">
        <v>238</v>
      </c>
      <c r="AD7" s="2" t="s">
        <v>238</v>
      </c>
      <c r="AE7" s="2" t="s">
        <v>253</v>
      </c>
      <c r="AF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" s="2" t="str">
        <f>SUBSTITUTE(SUBSTITUTE(PROPERTIES[[#This Row],[PURCHASECOST_VALUE]], "PURCHASECOST_", ""), "_VALUE", "")</f>
        <v>STEAMRAILBUS</v>
      </c>
      <c r="AI7" s="7" t="str" cm="1">
        <f t="array" ref="AI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" s="43" t="b">
        <v>0</v>
      </c>
      <c r="AK7" s="8" t="b">
        <v>0</v>
      </c>
      <c r="BB7"/>
      <c r="BC7"/>
      <c r="BD7"/>
    </row>
    <row r="8" spans="1:56">
      <c r="A8" s="2" t="s">
        <v>2733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5" t="str">
        <f>_xlfn.XLOOKUP(PROPERTIES[[#This Row],[VEHIDCODE]],CONTROL[VEHIDCODE],CONTROL[ENGLISH])</f>
        <v>Maffei MCCi</v>
      </c>
      <c r="F8" t="s">
        <v>623</v>
      </c>
      <c r="G8" s="45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8">
        <v>32</v>
      </c>
      <c r="R8">
        <v>195</v>
      </c>
      <c r="S8">
        <v>50</v>
      </c>
      <c r="T8" s="25">
        <v>0</v>
      </c>
      <c r="U8" s="24">
        <f>IFERROR(PROPERTIES[[#This Row],[TE_STARTING_KN]]/(PROPERTIES[[#This Row],[WEIGHT]]*9.81),0)</f>
        <v>0</v>
      </c>
      <c r="V8" s="24">
        <v>0.34</v>
      </c>
      <c r="W8" s="21">
        <f>ROUND(IF(IFERROR(PROPERTIES[[#This Row],[TE_COEFFICIENT_CALC]],0)=0,PROPERTIES[[#This Row],[TE_COEFFICIENT_MANUAL]],PROPERTIES[[#This Row],[TE_COEFFICIENT_CALC]]),3)</f>
        <v>0.34</v>
      </c>
      <c r="X8" s="9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1">
        <v>0</v>
      </c>
      <c r="Z8" s="7">
        <v>0</v>
      </c>
      <c r="AA8" t="s">
        <v>239</v>
      </c>
      <c r="AB8" t="s">
        <v>238</v>
      </c>
      <c r="AC8" t="s">
        <v>238</v>
      </c>
      <c r="AD8" s="2" t="s">
        <v>238</v>
      </c>
      <c r="AE8" s="2" t="s">
        <v>253</v>
      </c>
      <c r="AF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8" s="2" t="str">
        <f>SUBSTITUTE(SUBSTITUTE(PROPERTIES[[#This Row],[PURCHASECOST_VALUE]], "PURCHASECOST_", ""), "_VALUE", "")</f>
        <v>STEAMRAILBUS</v>
      </c>
      <c r="AI8" s="7" t="str" cm="1">
        <f t="array" ref="AI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" s="43" t="b">
        <v>0</v>
      </c>
      <c r="AK8" s="8" t="b">
        <v>0</v>
      </c>
      <c r="BB8"/>
      <c r="BC8"/>
      <c r="BD8"/>
    </row>
    <row r="9" spans="1:56">
      <c r="A9" s="2" t="s">
        <v>2734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5" t="str">
        <f>_xlfn.XLOOKUP(PROPERTIES[[#This Row],[VEHIDCODE]],CONTROL[VEHIDCODE],CONTROL[ENGLISH])</f>
        <v>Kitson &amp; Co CSAR Railmotor</v>
      </c>
      <c r="F9" t="s">
        <v>810</v>
      </c>
      <c r="G9" s="45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8">
        <v>48</v>
      </c>
      <c r="R9">
        <v>40</v>
      </c>
      <c r="S9">
        <v>48</v>
      </c>
      <c r="T9" s="25">
        <v>28.26</v>
      </c>
      <c r="U9" s="24">
        <f>IFERROR(PROPERTIES[[#This Row],[TE_STARTING_KN]]/(PROPERTIES[[#This Row],[WEIGHT]]*9.81),0)</f>
        <v>6.0015290519877681E-2</v>
      </c>
      <c r="V9" s="24">
        <v>0</v>
      </c>
      <c r="W9" s="21">
        <f>ROUND(IF(IFERROR(PROPERTIES[[#This Row],[TE_COEFFICIENT_CALC]],0)=0,PROPERTIES[[#This Row],[TE_COEFFICIENT_MANUAL]],PROPERTIES[[#This Row],[TE_COEFFICIENT_CALC]]),3)</f>
        <v>0.06</v>
      </c>
      <c r="X9" s="9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1">
        <v>0</v>
      </c>
      <c r="Z9" s="7">
        <v>2</v>
      </c>
      <c r="AA9" t="s">
        <v>242</v>
      </c>
      <c r="AB9" t="s">
        <v>238</v>
      </c>
      <c r="AC9" t="s">
        <v>238</v>
      </c>
      <c r="AD9" s="2" t="s">
        <v>238</v>
      </c>
      <c r="AE9" s="2" t="s">
        <v>253</v>
      </c>
      <c r="AF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9" s="2" t="str">
        <f>SUBSTITUTE(SUBSTITUTE(PROPERTIES[[#This Row],[PURCHASECOST_VALUE]], "PURCHASECOST_", ""), "_VALUE", "")</f>
        <v>STEAMRAILBUS</v>
      </c>
      <c r="AI9" s="7" t="str" cm="1">
        <f t="array" ref="AI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" s="43" t="b">
        <v>0</v>
      </c>
      <c r="AK9" s="8" t="b">
        <v>0</v>
      </c>
      <c r="BB9"/>
      <c r="BC9"/>
      <c r="BD9"/>
    </row>
    <row r="10" spans="1:56">
      <c r="A10" s="2" t="s">
        <v>2735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5" t="str">
        <f>_xlfn.XLOOKUP(PROPERTIES[[#This Row],[VEHIDCODE]],CONTROL[VEHIDCODE],CONTROL[ENGLISH])</f>
        <v>Kerr Stuart steam railmotor</v>
      </c>
      <c r="F10" t="s">
        <v>580</v>
      </c>
      <c r="G10" s="45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8">
        <v>42</v>
      </c>
      <c r="R10">
        <v>91</v>
      </c>
      <c r="S10">
        <v>55</v>
      </c>
      <c r="T10" s="25">
        <v>0</v>
      </c>
      <c r="U10" s="24">
        <f>IFERROR(PROPERTIES[[#This Row],[TE_STARTING_KN]]/(PROPERTIES[[#This Row],[WEIGHT]]*9.81),0)</f>
        <v>0</v>
      </c>
      <c r="V10" s="24">
        <v>0.14000000000000001</v>
      </c>
      <c r="W10" s="21">
        <f>ROUND(IF(IFERROR(PROPERTIES[[#This Row],[TE_COEFFICIENT_CALC]],0)=0,PROPERTIES[[#This Row],[TE_COEFFICIENT_MANUAL]],PROPERTIES[[#This Row],[TE_COEFFICIENT_CALC]]),3)</f>
        <v>0.14000000000000001</v>
      </c>
      <c r="X10" s="9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1">
        <v>0</v>
      </c>
      <c r="Z10" s="7">
        <v>0</v>
      </c>
      <c r="AA10" t="s">
        <v>241</v>
      </c>
      <c r="AB10" t="s">
        <v>238</v>
      </c>
      <c r="AC10" t="s">
        <v>238</v>
      </c>
      <c r="AD10" s="2" t="s">
        <v>238</v>
      </c>
      <c r="AE10" s="2" t="s">
        <v>253</v>
      </c>
      <c r="AF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0" s="2" t="str">
        <f>SUBSTITUTE(SUBSTITUTE(PROPERTIES[[#This Row],[PURCHASECOST_VALUE]], "PURCHASECOST_", ""), "_VALUE", "")</f>
        <v>STEAMRAILBUS</v>
      </c>
      <c r="AI10" s="7" t="str" cm="1">
        <f t="array" ref="AI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" s="43" t="b">
        <v>0</v>
      </c>
      <c r="AK10" s="8" t="b">
        <v>0</v>
      </c>
      <c r="BB10"/>
      <c r="BC10"/>
      <c r="BD10"/>
    </row>
    <row r="11" spans="1:56">
      <c r="A11" s="2" t="s">
        <v>2736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5" t="str">
        <f>_xlfn.XLOOKUP(PROPERTIES[[#This Row],[VEHIDCODE]],CONTROL[VEHIDCODE],CONTROL[ENGLISH])</f>
        <v>KkStB 4.0</v>
      </c>
      <c r="F11" t="s">
        <v>579</v>
      </c>
      <c r="G11" s="45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8">
        <v>23</v>
      </c>
      <c r="R11">
        <v>28</v>
      </c>
      <c r="S11">
        <v>80</v>
      </c>
      <c r="T11" s="25">
        <v>0</v>
      </c>
      <c r="U11" s="24">
        <f>IFERROR(PROPERTIES[[#This Row],[TE_STARTING_KN]]/(PROPERTIES[[#This Row],[WEIGHT]]*9.81),0)</f>
        <v>0</v>
      </c>
      <c r="V11" s="24">
        <v>7.0000000000000007E-2</v>
      </c>
      <c r="W11" s="21">
        <f>ROUND(IF(IFERROR(PROPERTIES[[#This Row],[TE_COEFFICIENT_CALC]],0)=0,PROPERTIES[[#This Row],[TE_COEFFICIENT_MANUAL]],PROPERTIES[[#This Row],[TE_COEFFICIENT_CALC]]),3)</f>
        <v>7.0000000000000007E-2</v>
      </c>
      <c r="X11" s="9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1">
        <v>0</v>
      </c>
      <c r="Z11" s="7">
        <v>0</v>
      </c>
      <c r="AA11" t="s">
        <v>239</v>
      </c>
      <c r="AB11" t="s">
        <v>238</v>
      </c>
      <c r="AC11" t="s">
        <v>238</v>
      </c>
      <c r="AD11" s="2" t="s">
        <v>238</v>
      </c>
      <c r="AE11" s="2" t="s">
        <v>253</v>
      </c>
      <c r="AF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1" s="2" t="str">
        <f>SUBSTITUTE(SUBSTITUTE(PROPERTIES[[#This Row],[PURCHASECOST_VALUE]], "PURCHASECOST_", ""), "_VALUE", "")</f>
        <v>STEAMRAILBUS</v>
      </c>
      <c r="AI11" s="7" t="str" cm="1">
        <f t="array" ref="AI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" s="43" t="b">
        <v>0</v>
      </c>
      <c r="AK11" s="8" t="b">
        <v>0</v>
      </c>
      <c r="BB11"/>
      <c r="BC11"/>
      <c r="BD11"/>
    </row>
    <row r="12" spans="1:56">
      <c r="A12" s="2" t="s">
        <v>2737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5" t="str">
        <f>_xlfn.XLOOKUP(PROPERTIES[[#This Row],[VEHIDCODE]],CONTROL[VEHIDCODE],CONTROL[ENGLISH])</f>
        <v>AEC railmotor RM1</v>
      </c>
      <c r="F12" t="s">
        <v>580</v>
      </c>
      <c r="G12" s="45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8">
        <v>24</v>
      </c>
      <c r="R12">
        <v>45</v>
      </c>
      <c r="S12">
        <v>50</v>
      </c>
      <c r="T12" s="25">
        <v>0</v>
      </c>
      <c r="U12" s="24">
        <f>IFERROR(PROPERTIES[[#This Row],[TE_STARTING_KN]]/(PROPERTIES[[#This Row],[WEIGHT]]*9.81),0)</f>
        <v>0</v>
      </c>
      <c r="V12" s="24">
        <v>0.1</v>
      </c>
      <c r="W12" s="21">
        <f>ROUND(IF(IFERROR(PROPERTIES[[#This Row],[TE_COEFFICIENT_CALC]],0)=0,PROPERTIES[[#This Row],[TE_COEFFICIENT_MANUAL]],PROPERTIES[[#This Row],[TE_COEFFICIENT_CALC]]),3)</f>
        <v>0.1</v>
      </c>
      <c r="X12" s="9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1">
        <v>0</v>
      </c>
      <c r="Z12" s="7">
        <v>0</v>
      </c>
      <c r="AA12" t="s">
        <v>241</v>
      </c>
      <c r="AB12" t="s">
        <v>238</v>
      </c>
      <c r="AC12" t="s">
        <v>238</v>
      </c>
      <c r="AD12" s="2" t="s">
        <v>238</v>
      </c>
      <c r="AE12" s="2" t="s">
        <v>253</v>
      </c>
      <c r="AF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2" s="2" t="str">
        <f>SUBSTITUTE(SUBSTITUTE(PROPERTIES[[#This Row],[PURCHASECOST_VALUE]], "PURCHASECOST_", ""), "_VALUE", "")</f>
        <v>DIESELRAILBUS</v>
      </c>
      <c r="AI12" s="7" t="str" cm="1">
        <f t="array" ref="AI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2" s="43" t="b">
        <v>0</v>
      </c>
      <c r="AK12" s="8" t="b">
        <v>0</v>
      </c>
      <c r="BB12"/>
      <c r="BC12"/>
      <c r="BD12"/>
    </row>
    <row r="13" spans="1:56">
      <c r="A13" s="2" t="s">
        <v>2738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5" t="str">
        <f>_xlfn.XLOOKUP(PROPERTIES[[#This Row],[VEHIDCODE]],CONTROL[VEHIDCODE],CONTROL[ENGLISH])</f>
        <v>VT133 Wismar Railcar</v>
      </c>
      <c r="F13" t="s">
        <v>623</v>
      </c>
      <c r="G13" s="45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8">
        <v>6</v>
      </c>
      <c r="R13">
        <v>38</v>
      </c>
      <c r="S13">
        <v>56</v>
      </c>
      <c r="T13" s="25">
        <v>0</v>
      </c>
      <c r="U13" s="24">
        <f>IFERROR(PROPERTIES[[#This Row],[TE_STARTING_KN]]/(PROPERTIES[[#This Row],[WEIGHT]]*9.81),0)</f>
        <v>0</v>
      </c>
      <c r="V13" s="24">
        <v>0.5</v>
      </c>
      <c r="W13" s="21">
        <f>ROUND(IF(IFERROR(PROPERTIES[[#This Row],[TE_COEFFICIENT_CALC]],0)=0,PROPERTIES[[#This Row],[TE_COEFFICIENT_MANUAL]],PROPERTIES[[#This Row],[TE_COEFFICIENT_CALC]]),3)</f>
        <v>0.5</v>
      </c>
      <c r="X13" s="9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1">
        <v>0</v>
      </c>
      <c r="Z13" s="7">
        <v>0</v>
      </c>
      <c r="AA13" t="s">
        <v>239</v>
      </c>
      <c r="AB13" t="s">
        <v>238</v>
      </c>
      <c r="AC13" t="s">
        <v>238</v>
      </c>
      <c r="AD13" s="2" t="s">
        <v>238</v>
      </c>
      <c r="AE13" s="2" t="s">
        <v>253</v>
      </c>
      <c r="AF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3" s="2" t="str">
        <f>SUBSTITUTE(SUBSTITUTE(PROPERTIES[[#This Row],[PURCHASECOST_VALUE]], "PURCHASECOST_", ""), "_VALUE", "")</f>
        <v>DIESELRAILBUS</v>
      </c>
      <c r="AI13" s="7" t="str" cm="1">
        <f t="array" ref="AI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3" s="43" t="b">
        <v>0</v>
      </c>
      <c r="AK13" s="8" t="b">
        <v>0</v>
      </c>
      <c r="BB13"/>
      <c r="BC13"/>
      <c r="BD13"/>
    </row>
    <row r="14" spans="1:56">
      <c r="A14" s="2" t="s">
        <v>2739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5" t="str">
        <f>_xlfn.XLOOKUP(PROPERTIES[[#This Row],[VEHIDCODE]],CONTROL[VEHIDCODE],CONTROL[ENGLISH])</f>
        <v>AEC Railcar</v>
      </c>
      <c r="F14" t="s">
        <v>642</v>
      </c>
      <c r="G14" s="45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8">
        <v>24</v>
      </c>
      <c r="R14">
        <v>130</v>
      </c>
      <c r="S14">
        <v>101</v>
      </c>
      <c r="T14" s="25">
        <v>0</v>
      </c>
      <c r="U14" s="24">
        <f>IFERROR(PROPERTIES[[#This Row],[TE_STARTING_KN]]/(PROPERTIES[[#This Row],[WEIGHT]]*9.81),0)</f>
        <v>0</v>
      </c>
      <c r="V14" s="24">
        <v>0.27</v>
      </c>
      <c r="W14" s="21">
        <f>ROUND(IF(IFERROR(PROPERTIES[[#This Row],[TE_COEFFICIENT_CALC]],0)=0,PROPERTIES[[#This Row],[TE_COEFFICIENT_MANUAL]],PROPERTIES[[#This Row],[TE_COEFFICIENT_CALC]]),3)</f>
        <v>0.27</v>
      </c>
      <c r="X14" s="9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1">
        <v>0</v>
      </c>
      <c r="Z14" s="7">
        <v>0</v>
      </c>
      <c r="AA14" t="s">
        <v>243</v>
      </c>
      <c r="AB14" t="s">
        <v>238</v>
      </c>
      <c r="AC14" t="s">
        <v>238</v>
      </c>
      <c r="AD14" s="2" t="s">
        <v>238</v>
      </c>
      <c r="AE14" s="2" t="s">
        <v>253</v>
      </c>
      <c r="AF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4" s="2" t="str">
        <f>SUBSTITUTE(SUBSTITUTE(PROPERTIES[[#This Row],[PURCHASECOST_VALUE]], "PURCHASECOST_", ""), "_VALUE", "")</f>
        <v>DIESELRAILBUS</v>
      </c>
      <c r="AI14" s="7" t="str" cm="1">
        <f t="array" ref="AI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4" s="43" t="b">
        <v>0</v>
      </c>
      <c r="AK14" s="8" t="b">
        <v>0</v>
      </c>
      <c r="BB14"/>
      <c r="BC14"/>
      <c r="BD14"/>
    </row>
    <row r="15" spans="1:56">
      <c r="A15" s="2" t="s">
        <v>2740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5" t="str">
        <f>_xlfn.XLOOKUP(PROPERTIES[[#This Row],[VEHIDCODE]],CONTROL[VEHIDCODE],CONTROL[ENGLISH])</f>
        <v>Simmering VT42</v>
      </c>
      <c r="F15" t="s">
        <v>579</v>
      </c>
      <c r="G15" s="45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8">
        <v>59</v>
      </c>
      <c r="R15">
        <v>210</v>
      </c>
      <c r="S15">
        <v>110</v>
      </c>
      <c r="T15" s="25">
        <v>50</v>
      </c>
      <c r="U15" s="24">
        <f>IFERROR(PROPERTIES[[#This Row],[TE_STARTING_KN]]/(PROPERTIES[[#This Row],[WEIGHT]]*9.81),0)</f>
        <v>8.6387117952970841E-2</v>
      </c>
      <c r="V15" s="24">
        <v>0</v>
      </c>
      <c r="W15" s="21">
        <f>ROUND(IF(IFERROR(PROPERTIES[[#This Row],[TE_COEFFICIENT_CALC]],0)=0,PROPERTIES[[#This Row],[TE_COEFFICIENT_MANUAL]],PROPERTIES[[#This Row],[TE_COEFFICIENT_CALC]]),3)</f>
        <v>8.5999999999999993E-2</v>
      </c>
      <c r="X15" s="9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1">
        <v>0</v>
      </c>
      <c r="Z15" s="7">
        <v>0</v>
      </c>
      <c r="AA15" t="s">
        <v>239</v>
      </c>
      <c r="AB15" t="s">
        <v>238</v>
      </c>
      <c r="AC15" t="s">
        <v>238</v>
      </c>
      <c r="AD15" s="2" t="s">
        <v>238</v>
      </c>
      <c r="AE15" s="2" t="s">
        <v>253</v>
      </c>
      <c r="AF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5" s="2" t="str">
        <f>SUBSTITUTE(SUBSTITUTE(PROPERTIES[[#This Row],[PURCHASECOST_VALUE]], "PURCHASECOST_", ""), "_VALUE", "")</f>
        <v>DIESELRAILBUS</v>
      </c>
      <c r="AI15" s="7" t="str" cm="1">
        <f t="array" ref="AI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5" s="43" t="b">
        <v>0</v>
      </c>
      <c r="AK15" s="8" t="b">
        <v>0</v>
      </c>
      <c r="BB15"/>
      <c r="BC15"/>
      <c r="BD15"/>
    </row>
    <row r="16" spans="1:56">
      <c r="A16" s="2" t="s">
        <v>2741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5" t="str">
        <f>_xlfn.XLOOKUP(PROPERTIES[[#This Row],[VEHIDCODE]],CONTROL[VEHIDCODE],CONTROL[ENGLISH])</f>
        <v>Hutt RM31</v>
      </c>
      <c r="F16" t="s">
        <v>736</v>
      </c>
      <c r="G16" s="45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8">
        <v>30</v>
      </c>
      <c r="R16">
        <f>114*2</f>
        <v>228</v>
      </c>
      <c r="S16">
        <v>100</v>
      </c>
      <c r="T16" s="25">
        <v>0</v>
      </c>
      <c r="U16" s="24">
        <f>IFERROR(PROPERTIES[[#This Row],[TE_STARTING_KN]]/(PROPERTIES[[#This Row],[WEIGHT]]*9.81),0)</f>
        <v>0</v>
      </c>
      <c r="V16" s="24">
        <v>0.2</v>
      </c>
      <c r="W16" s="21">
        <f>ROUND(IF(IFERROR(PROPERTIES[[#This Row],[TE_COEFFICIENT_CALC]],0)=0,PROPERTIES[[#This Row],[TE_COEFFICIENT_MANUAL]],PROPERTIES[[#This Row],[TE_COEFFICIENT_CALC]]),3)</f>
        <v>0.2</v>
      </c>
      <c r="X16" s="9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1">
        <v>0</v>
      </c>
      <c r="Z16" s="7">
        <v>0</v>
      </c>
      <c r="AA16" t="s">
        <v>241</v>
      </c>
      <c r="AB16" t="s">
        <v>238</v>
      </c>
      <c r="AC16" t="s">
        <v>238</v>
      </c>
      <c r="AD16" s="2" t="s">
        <v>238</v>
      </c>
      <c r="AE16" s="2" t="s">
        <v>253</v>
      </c>
      <c r="AF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6" s="2" t="str">
        <f>SUBSTITUTE(SUBSTITUTE(PROPERTIES[[#This Row],[PURCHASECOST_VALUE]], "PURCHASECOST_", ""), "_VALUE", "")</f>
        <v>DIESELRAILBUS</v>
      </c>
      <c r="AI16" s="7" t="str" cm="1">
        <f t="array" ref="AI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6" s="43" t="b">
        <v>0</v>
      </c>
      <c r="AK16" s="8" t="b">
        <v>0</v>
      </c>
      <c r="BB16"/>
      <c r="BC16"/>
      <c r="BD16"/>
    </row>
    <row r="17" spans="1:56">
      <c r="A17" s="2" t="s">
        <v>2742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5" t="str">
        <f>_xlfn.XLOOKUP(PROPERTIES[[#This Row],[VEHIDCODE]],CONTROL[VEHIDCODE],CONTROL[ENGLISH])</f>
        <v>NOHAB CP 0100</v>
      </c>
      <c r="F17" t="s">
        <v>749</v>
      </c>
      <c r="G17" s="45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8">
        <v>34</v>
      </c>
      <c r="R17">
        <v>350</v>
      </c>
      <c r="S17">
        <v>100</v>
      </c>
      <c r="T17" s="25">
        <v>0</v>
      </c>
      <c r="U17" s="24">
        <f>IFERROR(PROPERTIES[[#This Row],[TE_STARTING_KN]]/(PROPERTIES[[#This Row],[WEIGHT]]*9.81),0)</f>
        <v>0</v>
      </c>
      <c r="V17" s="24">
        <v>0.12</v>
      </c>
      <c r="W17" s="21">
        <f>ROUND(IF(IFERROR(PROPERTIES[[#This Row],[TE_COEFFICIENT_CALC]],0)=0,PROPERTIES[[#This Row],[TE_COEFFICIENT_MANUAL]],PROPERTIES[[#This Row],[TE_COEFFICIENT_CALC]]),3)</f>
        <v>0.12</v>
      </c>
      <c r="X17" s="9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1">
        <v>0</v>
      </c>
      <c r="Z17" s="7">
        <v>0</v>
      </c>
      <c r="AA17" t="s">
        <v>240</v>
      </c>
      <c r="AB17" t="s">
        <v>238</v>
      </c>
      <c r="AC17" t="s">
        <v>238</v>
      </c>
      <c r="AD17" s="2" t="s">
        <v>238</v>
      </c>
      <c r="AE17" s="2" t="s">
        <v>253</v>
      </c>
      <c r="AF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7" s="2" t="str">
        <f>SUBSTITUTE(SUBSTITUTE(PROPERTIES[[#This Row],[PURCHASECOST_VALUE]], "PURCHASECOST_", ""), "_VALUE", "")</f>
        <v>DIESELRAILBUS</v>
      </c>
      <c r="AI17" s="7" t="str" cm="1">
        <f t="array" ref="AI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7" s="43" t="b">
        <v>0</v>
      </c>
      <c r="AK17" s="8" t="b">
        <v>0</v>
      </c>
      <c r="BB17"/>
      <c r="BC17"/>
      <c r="BD17"/>
    </row>
    <row r="18" spans="1:56">
      <c r="A18" s="2" t="s">
        <v>2743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5" t="str">
        <f>_xlfn.XLOOKUP(PROPERTIES[[#This Row],[VEHIDCODE]],CONTROL[VEHIDCODE],CONTROL[ENGLISH])</f>
        <v>Budd RDC</v>
      </c>
      <c r="F18" t="s">
        <v>796</v>
      </c>
      <c r="G18" s="45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8">
        <v>49</v>
      </c>
      <c r="R18">
        <v>550</v>
      </c>
      <c r="S18">
        <v>136</v>
      </c>
      <c r="T18" s="25">
        <v>0</v>
      </c>
      <c r="U18" s="24">
        <f>IFERROR(PROPERTIES[[#This Row],[TE_STARTING_KN]]/(PROPERTIES[[#This Row],[WEIGHT]]*9.81),0)</f>
        <v>0</v>
      </c>
      <c r="V18" s="24">
        <v>0.1</v>
      </c>
      <c r="W18" s="21">
        <f>ROUND(IF(IFERROR(PROPERTIES[[#This Row],[TE_COEFFICIENT_CALC]],0)=0,PROPERTIES[[#This Row],[TE_COEFFICIENT_MANUAL]],PROPERTIES[[#This Row],[TE_COEFFICIENT_CALC]]),3)</f>
        <v>0.1</v>
      </c>
      <c r="X18" s="9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1">
        <v>0</v>
      </c>
      <c r="Z18" s="7">
        <v>0</v>
      </c>
      <c r="AA18" t="s">
        <v>249</v>
      </c>
      <c r="AB18" t="s">
        <v>2012</v>
      </c>
      <c r="AC18" t="s">
        <v>238</v>
      </c>
      <c r="AD18" s="2" t="s">
        <v>238</v>
      </c>
      <c r="AE18" s="2" t="s">
        <v>253</v>
      </c>
      <c r="AF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8" s="2" t="str">
        <f>SUBSTITUTE(SUBSTITUTE(PROPERTIES[[#This Row],[PURCHASECOST_VALUE]], "PURCHASECOST_", ""), "_VALUE", "")</f>
        <v>DIESELRAILBUS</v>
      </c>
      <c r="AI18" s="7" t="str" cm="1">
        <f t="array" ref="AI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8" s="43" t="b">
        <v>0</v>
      </c>
      <c r="AK18" s="8" t="b">
        <v>0</v>
      </c>
      <c r="BB18"/>
      <c r="BC18"/>
      <c r="BD18"/>
    </row>
    <row r="19" spans="1:56">
      <c r="A19" s="2" t="s">
        <v>2744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5" t="str">
        <f>_xlfn.XLOOKUP(PROPERTIES[[#This Row],[VEHIDCODE]],CONTROL[VEHIDCODE],CONTROL[ENGLISH])</f>
        <v>Uerdingen railbus</v>
      </c>
      <c r="F19" t="s">
        <v>623</v>
      </c>
      <c r="G19" s="45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8">
        <v>21</v>
      </c>
      <c r="R19">
        <v>300</v>
      </c>
      <c r="S19">
        <v>90</v>
      </c>
      <c r="T19" s="25">
        <v>0</v>
      </c>
      <c r="U19" s="24">
        <f>IFERROR(PROPERTIES[[#This Row],[TE_STARTING_KN]]/(PROPERTIES[[#This Row],[WEIGHT]]*9.81),0)</f>
        <v>0</v>
      </c>
      <c r="V19" s="24">
        <v>0.2</v>
      </c>
      <c r="W19" s="21">
        <f>ROUND(IF(IFERROR(PROPERTIES[[#This Row],[TE_COEFFICIENT_CALC]],0)=0,PROPERTIES[[#This Row],[TE_COEFFICIENT_MANUAL]],PROPERTIES[[#This Row],[TE_COEFFICIENT_CALC]]),3)</f>
        <v>0.2</v>
      </c>
      <c r="X19" s="9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1">
        <v>0</v>
      </c>
      <c r="Z19" s="7">
        <v>0</v>
      </c>
      <c r="AA19" t="s">
        <v>239</v>
      </c>
      <c r="AB19" t="s">
        <v>238</v>
      </c>
      <c r="AC19" t="s">
        <v>238</v>
      </c>
      <c r="AD19" s="2" t="s">
        <v>238</v>
      </c>
      <c r="AE19" s="2" t="s">
        <v>253</v>
      </c>
      <c r="AF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9" s="2" t="str">
        <f>SUBSTITUTE(SUBSTITUTE(PROPERTIES[[#This Row],[PURCHASECOST_VALUE]], "PURCHASECOST_", ""), "_VALUE", "")</f>
        <v>DIESELRAILBUS</v>
      </c>
      <c r="AI19" s="7" t="str" cm="1">
        <f t="array" ref="AI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9" s="43" t="b">
        <v>0</v>
      </c>
      <c r="AK19" s="8" t="b">
        <v>0</v>
      </c>
      <c r="BB19"/>
      <c r="BC19"/>
      <c r="BD19"/>
    </row>
    <row r="20" spans="1:56">
      <c r="A20" s="2" t="s">
        <v>2745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5" t="str">
        <f>_xlfn.XLOOKUP(PROPERTIES[[#This Row],[VEHIDCODE]],CONTROL[VEHIDCODE],CONTROL[ENGLISH])</f>
        <v>MaK GDT</v>
      </c>
      <c r="F20" t="s">
        <v>623</v>
      </c>
      <c r="G20" s="45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8">
        <v>39</v>
      </c>
      <c r="R20">
        <v>440</v>
      </c>
      <c r="S20">
        <v>70</v>
      </c>
      <c r="T20" s="25">
        <v>0</v>
      </c>
      <c r="U20" s="24">
        <f>IFERROR(PROPERTIES[[#This Row],[TE_STARTING_KN]]/(PROPERTIES[[#This Row],[WEIGHT]]*9.81),0)</f>
        <v>0</v>
      </c>
      <c r="V20" s="24">
        <v>0.25</v>
      </c>
      <c r="W20" s="21">
        <f>ROUND(IF(IFERROR(PROPERTIES[[#This Row],[TE_COEFFICIENT_CALC]],0)=0,PROPERTIES[[#This Row],[TE_COEFFICIENT_MANUAL]],PROPERTIES[[#This Row],[TE_COEFFICIENT_CALC]]),3)</f>
        <v>0.25</v>
      </c>
      <c r="X20" s="9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1">
        <v>0</v>
      </c>
      <c r="Z20" s="7">
        <v>0</v>
      </c>
      <c r="AA20" t="s">
        <v>239</v>
      </c>
      <c r="AB20" t="s">
        <v>238</v>
      </c>
      <c r="AC20" t="s">
        <v>238</v>
      </c>
      <c r="AD20" s="2" t="s">
        <v>238</v>
      </c>
      <c r="AE20" s="2" t="s">
        <v>253</v>
      </c>
      <c r="AF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0" s="2" t="str">
        <f>SUBSTITUTE(SUBSTITUTE(PROPERTIES[[#This Row],[PURCHASECOST_VALUE]], "PURCHASECOST_", ""), "_VALUE", "")</f>
        <v>DIESELRAILBUS</v>
      </c>
      <c r="AI20" s="7" t="str" cm="1">
        <f t="array" ref="AI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0" s="43" t="b">
        <v>0</v>
      </c>
      <c r="AK20" s="8" t="b">
        <v>0</v>
      </c>
      <c r="BB20"/>
      <c r="BC20"/>
      <c r="BD20"/>
    </row>
    <row r="21" spans="1:56">
      <c r="A21" s="2" t="s">
        <v>2746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5" t="str">
        <f>_xlfn.XLOOKUP(PROPERTIES[[#This Row],[VEHIDCODE]],CONTROL[VEHIDCODE],CONTROL[ENGLISH])</f>
        <v>Allan 'Kameel'</v>
      </c>
      <c r="F21" t="s">
        <v>731</v>
      </c>
      <c r="G21" s="45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8">
        <v>58</v>
      </c>
      <c r="R21">
        <v>285</v>
      </c>
      <c r="S21">
        <v>125</v>
      </c>
      <c r="T21" s="25">
        <v>0</v>
      </c>
      <c r="U21" s="24">
        <f>IFERROR(PROPERTIES[[#This Row],[TE_STARTING_KN]]/(PROPERTIES[[#This Row],[WEIGHT]]*9.81),0)</f>
        <v>0</v>
      </c>
      <c r="V21" s="24">
        <v>0.12</v>
      </c>
      <c r="W21" s="21">
        <f>ROUND(IF(IFERROR(PROPERTIES[[#This Row],[TE_COEFFICIENT_CALC]],0)=0,PROPERTIES[[#This Row],[TE_COEFFICIENT_MANUAL]],PROPERTIES[[#This Row],[TE_COEFFICIENT_CALC]]),3)</f>
        <v>0.12</v>
      </c>
      <c r="X21" s="9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1">
        <v>0</v>
      </c>
      <c r="Z21" s="7">
        <v>0</v>
      </c>
      <c r="AA21" t="s">
        <v>239</v>
      </c>
      <c r="AB21" t="s">
        <v>238</v>
      </c>
      <c r="AC21" t="s">
        <v>238</v>
      </c>
      <c r="AD21" s="2" t="s">
        <v>238</v>
      </c>
      <c r="AE21" s="2" t="s">
        <v>253</v>
      </c>
      <c r="AF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1" s="2" t="str">
        <f>SUBSTITUTE(SUBSTITUTE(PROPERTIES[[#This Row],[PURCHASECOST_VALUE]], "PURCHASECOST_", ""), "_VALUE", "")</f>
        <v>DIESELRAILBUS</v>
      </c>
      <c r="AI21" s="7" t="str" cm="1">
        <f t="array" ref="AI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1" s="43" t="b">
        <v>0</v>
      </c>
      <c r="AK21" s="8" t="b">
        <v>0</v>
      </c>
      <c r="BB21"/>
      <c r="BC21"/>
      <c r="BD21"/>
    </row>
    <row r="22" spans="1:56">
      <c r="A22" s="2" t="s">
        <v>2747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5" t="str">
        <f>_xlfn.XLOOKUP(PROPERTIES[[#This Row],[VEHIDCODE]],CONTROL[VEHIDCODE],CONTROL[ENGLISH])</f>
        <v>NS DH1</v>
      </c>
      <c r="F22" t="s">
        <v>731</v>
      </c>
      <c r="G22" s="45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8">
        <v>37</v>
      </c>
      <c r="R22">
        <v>285</v>
      </c>
      <c r="S22">
        <v>100</v>
      </c>
      <c r="T22" s="25">
        <v>0</v>
      </c>
      <c r="U22" s="24">
        <f>IFERROR(PROPERTIES[[#This Row],[TE_STARTING_KN]]/(PROPERTIES[[#This Row],[WEIGHT]]*9.81),0)</f>
        <v>0</v>
      </c>
      <c r="V22" s="24">
        <v>0.23</v>
      </c>
      <c r="W22" s="21">
        <f>ROUND(IF(IFERROR(PROPERTIES[[#This Row],[TE_COEFFICIENT_CALC]],0)=0,PROPERTIES[[#This Row],[TE_COEFFICIENT_MANUAL]],PROPERTIES[[#This Row],[TE_COEFFICIENT_CALC]]),3)</f>
        <v>0.23</v>
      </c>
      <c r="X22" s="9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1">
        <v>0</v>
      </c>
      <c r="Z22" s="7">
        <v>0</v>
      </c>
      <c r="AA22" t="s">
        <v>248</v>
      </c>
      <c r="AB22" t="s">
        <v>246</v>
      </c>
      <c r="AC22" t="s">
        <v>238</v>
      </c>
      <c r="AD22" s="2" t="s">
        <v>238</v>
      </c>
      <c r="AE22" s="2" t="s">
        <v>253</v>
      </c>
      <c r="AF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2" s="2" t="str">
        <f>SUBSTITUTE(SUBSTITUTE(PROPERTIES[[#This Row],[PURCHASECOST_VALUE]], "PURCHASECOST_", ""), "_VALUE", "")</f>
        <v>DIESELRAILBUS</v>
      </c>
      <c r="AI22" s="7" t="str" cm="1">
        <f t="array" ref="AI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2" s="43" t="b">
        <v>0</v>
      </c>
      <c r="AK22" s="8" t="b">
        <v>0</v>
      </c>
      <c r="BB22"/>
      <c r="BC22"/>
      <c r="BD22"/>
    </row>
    <row r="23" spans="1:56">
      <c r="A23" s="2" t="s">
        <v>2748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5" t="str">
        <f>_xlfn.XLOOKUP(PROPERTIES[[#This Row],[VEHIDCODE]],CONTROL[VEHIDCODE],CONTROL[ENGLISH])</f>
        <v>Jenbacher Werke 5047</v>
      </c>
      <c r="F23" t="s">
        <v>579</v>
      </c>
      <c r="G23" s="45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8">
        <v>44</v>
      </c>
      <c r="R23">
        <v>562</v>
      </c>
      <c r="S23">
        <v>120</v>
      </c>
      <c r="T23" s="25">
        <v>0</v>
      </c>
      <c r="U23" s="24">
        <f>IFERROR(PROPERTIES[[#This Row],[TE_STARTING_KN]]/(PROPERTIES[[#This Row],[WEIGHT]]*9.81),0)</f>
        <v>0</v>
      </c>
      <c r="V23" s="24">
        <v>0.11</v>
      </c>
      <c r="W23" s="21">
        <f>ROUND(IF(IFERROR(PROPERTIES[[#This Row],[TE_COEFFICIENT_CALC]],0)=0,PROPERTIES[[#This Row],[TE_COEFFICIENT_MANUAL]],PROPERTIES[[#This Row],[TE_COEFFICIENT_CALC]]),3)</f>
        <v>0.11</v>
      </c>
      <c r="X23" s="9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1">
        <v>0</v>
      </c>
      <c r="Z23" s="7">
        <v>0</v>
      </c>
      <c r="AA23" t="s">
        <v>239</v>
      </c>
      <c r="AB23" t="s">
        <v>238</v>
      </c>
      <c r="AC23" t="s">
        <v>238</v>
      </c>
      <c r="AD23" s="2" t="s">
        <v>238</v>
      </c>
      <c r="AE23" s="2" t="s">
        <v>253</v>
      </c>
      <c r="AF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3" s="2" t="str">
        <f>SUBSTITUTE(SUBSTITUTE(PROPERTIES[[#This Row],[PURCHASECOST_VALUE]], "PURCHASECOST_", ""), "_VALUE", "")</f>
        <v>DIESELRAILBUS</v>
      </c>
      <c r="AI23" s="7" t="str" cm="1">
        <f t="array" ref="AI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3" s="43" t="b">
        <v>0</v>
      </c>
      <c r="AK23" s="8" t="b">
        <v>0</v>
      </c>
      <c r="BB23"/>
      <c r="BC23"/>
      <c r="BD23"/>
    </row>
    <row r="24" spans="1:56">
      <c r="A24" s="2" t="s">
        <v>2749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5" t="str">
        <f>_xlfn.XLOOKUP(PROPERTIES[[#This Row],[VEHIDCODE]],CONTROL[VEHIDCODE],CONTROL[ENGLISH])</f>
        <v>Hunslet-Barclay 'Super Sprinter'</v>
      </c>
      <c r="F24" t="s">
        <v>642</v>
      </c>
      <c r="G24" s="45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8">
        <v>42</v>
      </c>
      <c r="R24">
        <v>285</v>
      </c>
      <c r="S24">
        <v>120</v>
      </c>
      <c r="T24" s="25">
        <v>0</v>
      </c>
      <c r="U24" s="24">
        <f>IFERROR(PROPERTIES[[#This Row],[TE_STARTING_KN]]/(PROPERTIES[[#This Row],[WEIGHT]]*9.81),0)</f>
        <v>0</v>
      </c>
      <c r="V24" s="24">
        <v>0.1</v>
      </c>
      <c r="W24" s="21">
        <f>ROUND(IF(IFERROR(PROPERTIES[[#This Row],[TE_COEFFICIENT_CALC]],0)=0,PROPERTIES[[#This Row],[TE_COEFFICIENT_MANUAL]],PROPERTIES[[#This Row],[TE_COEFFICIENT_CALC]]),3)</f>
        <v>0.1</v>
      </c>
      <c r="X24" s="9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1">
        <v>0</v>
      </c>
      <c r="Z24" s="7">
        <v>0</v>
      </c>
      <c r="AA24" t="s">
        <v>243</v>
      </c>
      <c r="AB24" t="s">
        <v>238</v>
      </c>
      <c r="AC24" t="s">
        <v>238</v>
      </c>
      <c r="AD24" s="2" t="s">
        <v>238</v>
      </c>
      <c r="AE24" s="2" t="s">
        <v>253</v>
      </c>
      <c r="AF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4" s="2" t="str">
        <f>SUBSTITUTE(SUBSTITUTE(PROPERTIES[[#This Row],[PURCHASECOST_VALUE]], "PURCHASECOST_", ""), "_VALUE", "")</f>
        <v>DIESELRAILBUS</v>
      </c>
      <c r="AI24" s="7" t="str" cm="1">
        <f t="array" ref="AI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4" s="43" t="b">
        <v>0</v>
      </c>
      <c r="AK24" s="8" t="b">
        <v>0</v>
      </c>
      <c r="BB24"/>
      <c r="BC24"/>
      <c r="BD24"/>
    </row>
    <row r="25" spans="1:56">
      <c r="A25" s="2" t="s">
        <v>2750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5" t="str">
        <f>_xlfn.XLOOKUP(PROPERTIES[[#This Row],[VEHIDCODE]],CONTROL[VEHIDCODE],CONTROL[ENGLISH])</f>
        <v>Vagonka Studenka 809</v>
      </c>
      <c r="F25" t="s">
        <v>622</v>
      </c>
      <c r="G25" s="45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8">
        <v>20</v>
      </c>
      <c r="R25">
        <v>210</v>
      </c>
      <c r="S25">
        <v>80</v>
      </c>
      <c r="T25" s="25">
        <v>0</v>
      </c>
      <c r="U25" s="24">
        <f>IFERROR(PROPERTIES[[#This Row],[TE_STARTING_KN]]/(PROPERTIES[[#This Row],[WEIGHT]]*9.81),0)</f>
        <v>0</v>
      </c>
      <c r="V25" s="24">
        <v>0.15</v>
      </c>
      <c r="W25" s="21">
        <f>ROUND(IF(IFERROR(PROPERTIES[[#This Row],[TE_COEFFICIENT_CALC]],0)=0,PROPERTIES[[#This Row],[TE_COEFFICIENT_MANUAL]],PROPERTIES[[#This Row],[TE_COEFFICIENT_CALC]]),3)</f>
        <v>0.15</v>
      </c>
      <c r="X25" s="9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1">
        <v>0</v>
      </c>
      <c r="Z25" s="7">
        <v>0</v>
      </c>
      <c r="AA25" t="s">
        <v>245</v>
      </c>
      <c r="AB25" t="s">
        <v>238</v>
      </c>
      <c r="AC25" t="s">
        <v>238</v>
      </c>
      <c r="AD25" s="2" t="s">
        <v>238</v>
      </c>
      <c r="AE25" s="2" t="s">
        <v>253</v>
      </c>
      <c r="AF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5" s="2" t="str">
        <f>SUBSTITUTE(SUBSTITUTE(PROPERTIES[[#This Row],[PURCHASECOST_VALUE]], "PURCHASECOST_", ""), "_VALUE", "")</f>
        <v>DIESELRAILBUS</v>
      </c>
      <c r="AI25" s="7" t="str" cm="1">
        <f t="array" ref="AI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5" s="43" t="b">
        <v>0</v>
      </c>
      <c r="AK25" s="8" t="b">
        <v>0</v>
      </c>
      <c r="BB25"/>
      <c r="BC25"/>
      <c r="BD25"/>
    </row>
    <row r="26" spans="1:56">
      <c r="A26" s="2" t="s">
        <v>2751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5" t="str">
        <f>_xlfn.XLOOKUP(PROPERTIES[[#This Row],[VEHIDCODE]],CONTROL[VEHIDCODE],CONTROL[ENGLISH])</f>
        <v>DWA 670</v>
      </c>
      <c r="F26" t="s">
        <v>623</v>
      </c>
      <c r="G26" s="45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8">
        <v>34</v>
      </c>
      <c r="R26">
        <v>335</v>
      </c>
      <c r="S26">
        <v>100</v>
      </c>
      <c r="T26" s="25">
        <v>0</v>
      </c>
      <c r="U26" s="24">
        <f>IFERROR(PROPERTIES[[#This Row],[TE_STARTING_KN]]/(PROPERTIES[[#This Row],[WEIGHT]]*9.81),0)</f>
        <v>0</v>
      </c>
      <c r="V26" s="24">
        <v>0.21</v>
      </c>
      <c r="W26" s="21">
        <f>ROUND(IF(IFERROR(PROPERTIES[[#This Row],[TE_COEFFICIENT_CALC]],0)=0,PROPERTIES[[#This Row],[TE_COEFFICIENT_MANUAL]],PROPERTIES[[#This Row],[TE_COEFFICIENT_CALC]]),3)</f>
        <v>0.21</v>
      </c>
      <c r="X26" s="9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1">
        <v>0</v>
      </c>
      <c r="Z26" s="7">
        <v>0</v>
      </c>
      <c r="AA26" t="s">
        <v>239</v>
      </c>
      <c r="AB26" t="s">
        <v>238</v>
      </c>
      <c r="AC26" t="s">
        <v>238</v>
      </c>
      <c r="AD26" s="2" t="s">
        <v>238</v>
      </c>
      <c r="AE26" s="2" t="s">
        <v>253</v>
      </c>
      <c r="AF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6" s="2" t="str">
        <f>SUBSTITUTE(SUBSTITUTE(PROPERTIES[[#This Row],[PURCHASECOST_VALUE]], "PURCHASECOST_", ""), "_VALUE", "")</f>
        <v>DIESELRAILBUS</v>
      </c>
      <c r="AI26" s="7" t="str" cm="1">
        <f t="array" ref="AI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6" s="43" t="b">
        <v>0</v>
      </c>
      <c r="AK26" s="8" t="b">
        <v>0</v>
      </c>
      <c r="BB26"/>
      <c r="BC26"/>
      <c r="BD26"/>
    </row>
    <row r="27" spans="1:56">
      <c r="A27" s="2" t="s">
        <v>2752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5" t="str">
        <f>_xlfn.XLOOKUP(PROPERTIES[[#This Row],[VEHIDCODE]],CONTROL[VEHIDCODE],CONTROL[ENGLISH])</f>
        <v>RVR AR2</v>
      </c>
      <c r="F27" t="s">
        <v>698</v>
      </c>
      <c r="G27" s="45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8">
        <v>32</v>
      </c>
      <c r="R27">
        <v>400</v>
      </c>
      <c r="S27">
        <v>120</v>
      </c>
      <c r="T27" s="25">
        <v>0</v>
      </c>
      <c r="U27" s="24">
        <f>IFERROR(PROPERTIES[[#This Row],[TE_STARTING_KN]]/(PROPERTIES[[#This Row],[WEIGHT]]*9.81),0)</f>
        <v>0</v>
      </c>
      <c r="V27" s="24">
        <v>0.12</v>
      </c>
      <c r="W27" s="21">
        <f>ROUND(IF(IFERROR(PROPERTIES[[#This Row],[TE_COEFFICIENT_CALC]],0)=0,PROPERTIES[[#This Row],[TE_COEFFICIENT_MANUAL]],PROPERTIES[[#This Row],[TE_COEFFICIENT_CALC]]),3)</f>
        <v>0.12</v>
      </c>
      <c r="X27" s="9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1">
        <v>0</v>
      </c>
      <c r="Z27" s="7">
        <v>0</v>
      </c>
      <c r="AA27" t="s">
        <v>243</v>
      </c>
      <c r="AB27" t="s">
        <v>238</v>
      </c>
      <c r="AC27" t="s">
        <v>238</v>
      </c>
      <c r="AD27" s="2" t="s">
        <v>238</v>
      </c>
      <c r="AE27" s="2" t="s">
        <v>253</v>
      </c>
      <c r="AF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7" s="2" t="str">
        <f>SUBSTITUTE(SUBSTITUTE(PROPERTIES[[#This Row],[PURCHASECOST_VALUE]], "PURCHASECOST_", ""), "_VALUE", "")</f>
        <v>DIESELRAILBUS</v>
      </c>
      <c r="AI27" s="7" t="str" cm="1">
        <f t="array" ref="AI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7" s="43" t="b">
        <v>0</v>
      </c>
      <c r="AK27" s="8" t="b">
        <v>0</v>
      </c>
      <c r="BB27"/>
      <c r="BC27"/>
      <c r="BD27"/>
    </row>
    <row r="28" spans="1:56">
      <c r="A28" s="2" t="s">
        <v>2753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5" t="str">
        <f>_xlfn.XLOOKUP(PROPERTIES[[#This Row],[VEHIDCODE]],CONTROL[VEHIDCODE],CONTROL[ENGLISH])</f>
        <v>Austro-Daimler Z1</v>
      </c>
      <c r="F28" t="s">
        <v>579</v>
      </c>
      <c r="G28" s="45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8">
        <v>13</v>
      </c>
      <c r="R28">
        <v>55</v>
      </c>
      <c r="S28">
        <v>35</v>
      </c>
      <c r="T28" s="25">
        <v>0</v>
      </c>
      <c r="U28" s="24">
        <f>IFERROR(PROPERTIES[[#This Row],[TE_STARTING_KN]]/(PROPERTIES[[#This Row],[WEIGHT]]*9.81),0)</f>
        <v>0</v>
      </c>
      <c r="V28" s="24">
        <v>0.34</v>
      </c>
      <c r="W28" s="21">
        <f>ROUND(IF(IFERROR(PROPERTIES[[#This Row],[TE_COEFFICIENT_CALC]],0)=0,PROPERTIES[[#This Row],[TE_COEFFICIENT_MANUAL]],PROPERTIES[[#This Row],[TE_COEFFICIENT_CALC]]),3)</f>
        <v>0.34</v>
      </c>
      <c r="X28" s="9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1">
        <v>0</v>
      </c>
      <c r="Z28" s="7">
        <v>0</v>
      </c>
      <c r="AA28" t="s">
        <v>239</v>
      </c>
      <c r="AB28" t="s">
        <v>238</v>
      </c>
      <c r="AC28" t="s">
        <v>238</v>
      </c>
      <c r="AD28" s="2" t="s">
        <v>238</v>
      </c>
      <c r="AE28" s="2" t="s">
        <v>253</v>
      </c>
      <c r="AF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8" s="2" t="str">
        <f>SUBSTITUTE(SUBSTITUTE(PROPERTIES[[#This Row],[PURCHASECOST_VALUE]], "PURCHASECOST_", ""), "_VALUE", "")</f>
        <v>DIESELRAILBUS</v>
      </c>
      <c r="AI28" s="7" t="str" cm="1">
        <f t="array" ref="AI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8" s="43" t="b">
        <v>0</v>
      </c>
      <c r="AK28" s="8" t="b">
        <v>0</v>
      </c>
      <c r="BB28"/>
      <c r="BC28"/>
      <c r="BD28"/>
    </row>
    <row r="29" spans="1:56">
      <c r="A29" s="2" t="s">
        <v>2754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5" t="str">
        <f>_xlfn.XLOOKUP(PROPERTIES[[#This Row],[VEHIDCODE]],CONTROL[VEHIDCODE],CONTROL[ENGLISH])</f>
        <v>McKeen Motor Car 70</v>
      </c>
      <c r="F29" t="s">
        <v>796</v>
      </c>
      <c r="G29" s="45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8">
        <v>30</v>
      </c>
      <c r="R29">
        <v>200</v>
      </c>
      <c r="S29">
        <v>52</v>
      </c>
      <c r="T29" s="25">
        <v>0</v>
      </c>
      <c r="U29" s="24">
        <f>IFERROR(PROPERTIES[[#This Row],[TE_STARTING_KN]]/(PROPERTIES[[#This Row],[WEIGHT]]*9.81),0)</f>
        <v>0</v>
      </c>
      <c r="V29" s="24">
        <v>0.34</v>
      </c>
      <c r="W29" s="21">
        <f>ROUND(IF(IFERROR(PROPERTIES[[#This Row],[TE_COEFFICIENT_CALC]],0)=0,PROPERTIES[[#This Row],[TE_COEFFICIENT_MANUAL]],PROPERTIES[[#This Row],[TE_COEFFICIENT_CALC]]),3)</f>
        <v>0.34</v>
      </c>
      <c r="X29" s="9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1">
        <v>0</v>
      </c>
      <c r="Z29" s="7">
        <v>0</v>
      </c>
      <c r="AA29" t="s">
        <v>244</v>
      </c>
      <c r="AB29" t="s">
        <v>238</v>
      </c>
      <c r="AC29" t="s">
        <v>238</v>
      </c>
      <c r="AD29" s="2" t="s">
        <v>238</v>
      </c>
      <c r="AE29" s="2" t="s">
        <v>253</v>
      </c>
      <c r="AF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9" s="2" t="str">
        <f>SUBSTITUTE(SUBSTITUTE(PROPERTIES[[#This Row],[PURCHASECOST_VALUE]], "PURCHASECOST_", ""), "_VALUE", "")</f>
        <v>DIESELRAILBUS</v>
      </c>
      <c r="AI29" s="7" t="str" cm="1">
        <f t="array" ref="AI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9" s="43" t="b">
        <v>0</v>
      </c>
      <c r="AK29" s="8" t="b">
        <v>0</v>
      </c>
      <c r="BB29"/>
      <c r="BC29"/>
      <c r="BD29"/>
    </row>
    <row r="30" spans="1:56">
      <c r="A30" s="2" t="s">
        <v>2755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5" t="str">
        <f>_xlfn.XLOOKUP(PROPERTIES[[#This Row],[VEHIDCODE]],CONTROL[VEHIDCODE],CONTROL[ENGLISH])</f>
        <v>BBC DET 1-2 'Sächsischer'</v>
      </c>
      <c r="F30" t="s">
        <v>623</v>
      </c>
      <c r="G30" s="45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8">
        <v>64</v>
      </c>
      <c r="R30">
        <v>200</v>
      </c>
      <c r="S30">
        <v>70</v>
      </c>
      <c r="T30" s="25">
        <v>0</v>
      </c>
      <c r="U30" s="24">
        <f>IFERROR(PROPERTIES[[#This Row],[TE_STARTING_KN]]/(PROPERTIES[[#This Row],[WEIGHT]]*9.81),0)</f>
        <v>0</v>
      </c>
      <c r="V30" s="24">
        <v>0.34</v>
      </c>
      <c r="W30" s="21">
        <f>ROUND(IF(IFERROR(PROPERTIES[[#This Row],[TE_COEFFICIENT_CALC]],0)=0,PROPERTIES[[#This Row],[TE_COEFFICIENT_MANUAL]],PROPERTIES[[#This Row],[TE_COEFFICIENT_CALC]]),3)</f>
        <v>0.34</v>
      </c>
      <c r="X30" s="9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1">
        <v>0</v>
      </c>
      <c r="Z30" s="7">
        <v>2</v>
      </c>
      <c r="AA30" t="s">
        <v>239</v>
      </c>
      <c r="AB30" t="s">
        <v>238</v>
      </c>
      <c r="AC30" t="s">
        <v>238</v>
      </c>
      <c r="AD30" s="2" t="s">
        <v>238</v>
      </c>
      <c r="AE30" s="2" t="s">
        <v>253</v>
      </c>
      <c r="AF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0" s="2" t="str">
        <f>SUBSTITUTE(SUBSTITUTE(PROPERTIES[[#This Row],[PURCHASECOST_VALUE]], "PURCHASECOST_", ""), "_VALUE", "")</f>
        <v>DIESELRAILBUS</v>
      </c>
      <c r="AI30" s="7" t="str" cm="1">
        <f t="array" ref="AI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0" s="43" t="b">
        <v>0</v>
      </c>
      <c r="AK30" s="8" t="b">
        <v>0</v>
      </c>
      <c r="BB30"/>
      <c r="BC30"/>
      <c r="BD30"/>
    </row>
    <row r="31" spans="1:56">
      <c r="A31" s="2" t="s">
        <v>2756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5" t="str">
        <f>_xlfn.XLOOKUP(PROPERTIES[[#This Row],[VEHIDCODE]],CONTROL[VEHIDCODE],CONTROL[ENGLISH])</f>
        <v>WC&amp;PR Drewry Railcar</v>
      </c>
      <c r="F31" t="s">
        <v>642</v>
      </c>
      <c r="G31" s="45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8">
        <v>10</v>
      </c>
      <c r="R31">
        <v>35</v>
      </c>
      <c r="S31">
        <v>40</v>
      </c>
      <c r="T31" s="25">
        <v>0</v>
      </c>
      <c r="U31" s="24">
        <f>IFERROR(PROPERTIES[[#This Row],[TE_STARTING_KN]]/(PROPERTIES[[#This Row],[WEIGHT]]*9.81),0)</f>
        <v>0</v>
      </c>
      <c r="V31" s="24">
        <v>0.21</v>
      </c>
      <c r="W31" s="21">
        <f>ROUND(IF(IFERROR(PROPERTIES[[#This Row],[TE_COEFFICIENT_CALC]],0)=0,PROPERTIES[[#This Row],[TE_COEFFICIENT_MANUAL]],PROPERTIES[[#This Row],[TE_COEFFICIENT_CALC]]),3)</f>
        <v>0.21</v>
      </c>
      <c r="X31" s="9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1">
        <v>0</v>
      </c>
      <c r="Z31" s="7">
        <v>0</v>
      </c>
      <c r="AA31" t="s">
        <v>243</v>
      </c>
      <c r="AB31" t="s">
        <v>238</v>
      </c>
      <c r="AC31" t="s">
        <v>238</v>
      </c>
      <c r="AD31" s="2" t="s">
        <v>238</v>
      </c>
      <c r="AE31" s="2" t="s">
        <v>253</v>
      </c>
      <c r="AF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1" s="2" t="str">
        <f>SUBSTITUTE(SUBSTITUTE(PROPERTIES[[#This Row],[PURCHASECOST_VALUE]], "PURCHASECOST_", ""), "_VALUE", "")</f>
        <v>DIESELRAILBUS</v>
      </c>
      <c r="AI31" s="7" t="str" cm="1">
        <f t="array" ref="AI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1" s="43" t="b">
        <v>0</v>
      </c>
      <c r="AK31" s="8" t="b">
        <v>0</v>
      </c>
      <c r="BB31"/>
      <c r="BC31"/>
      <c r="BD31"/>
    </row>
    <row r="32" spans="1:56">
      <c r="A32" s="2" t="s">
        <v>2757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5" t="str">
        <f>_xlfn.XLOOKUP(PROPERTIES[[#This Row],[VEHIDCODE]],CONTROL[VEHIDCODE],CONTROL[ENGLISH])</f>
        <v>LHW BSt 6001</v>
      </c>
      <c r="F32" t="s">
        <v>623</v>
      </c>
      <c r="G32" s="45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8">
        <v>11</v>
      </c>
      <c r="R32">
        <v>75</v>
      </c>
      <c r="S32">
        <v>40</v>
      </c>
      <c r="T32" s="25">
        <v>0</v>
      </c>
      <c r="U32" s="24">
        <f>IFERROR(PROPERTIES[[#This Row],[TE_STARTING_KN]]/(PROPERTIES[[#This Row],[WEIGHT]]*9.81),0)</f>
        <v>0</v>
      </c>
      <c r="V32" s="24">
        <v>0.34</v>
      </c>
      <c r="W32" s="21">
        <f>ROUND(IF(IFERROR(PROPERTIES[[#This Row],[TE_COEFFICIENT_CALC]],0)=0,PROPERTIES[[#This Row],[TE_COEFFICIENT_MANUAL]],PROPERTIES[[#This Row],[TE_COEFFICIENT_CALC]]),3)</f>
        <v>0.34</v>
      </c>
      <c r="X32" s="9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1">
        <v>0</v>
      </c>
      <c r="Z32" s="7">
        <v>0</v>
      </c>
      <c r="AA32" t="s">
        <v>239</v>
      </c>
      <c r="AB32" t="s">
        <v>238</v>
      </c>
      <c r="AC32" t="s">
        <v>238</v>
      </c>
      <c r="AD32" s="2" t="s">
        <v>238</v>
      </c>
      <c r="AE32" s="2" t="s">
        <v>253</v>
      </c>
      <c r="AF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2" s="2" t="str">
        <f>SUBSTITUTE(SUBSTITUTE(PROPERTIES[[#This Row],[PURCHASECOST_VALUE]], "PURCHASECOST_", ""), "_VALUE", "")</f>
        <v>DIESELRAILBUS</v>
      </c>
      <c r="AI32" s="7" t="str" cm="1">
        <f t="array" ref="AI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2" s="43" t="b">
        <v>0</v>
      </c>
      <c r="AK32" s="8" t="b">
        <v>0</v>
      </c>
      <c r="BB32"/>
      <c r="BC32"/>
      <c r="BD32"/>
    </row>
    <row r="33" spans="1:56">
      <c r="A33" s="2" t="s">
        <v>2758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5" t="str">
        <f>_xlfn.XLOOKUP(PROPERTIES[[#This Row],[VEHIDCODE]],CONTROL[VEHIDCODE],CONTROL[ENGLISH])</f>
        <v>EMC DERM</v>
      </c>
      <c r="F33" t="s">
        <v>580</v>
      </c>
      <c r="G33" s="45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8">
        <v>43</v>
      </c>
      <c r="R33">
        <v>255</v>
      </c>
      <c r="S33">
        <v>100</v>
      </c>
      <c r="T33" s="25">
        <v>0</v>
      </c>
      <c r="U33" s="24">
        <f>IFERROR(PROPERTIES[[#This Row],[TE_STARTING_KN]]/(PROPERTIES[[#This Row],[WEIGHT]]*9.81),0)</f>
        <v>0</v>
      </c>
      <c r="V33" s="24">
        <v>0.34</v>
      </c>
      <c r="W33" s="21">
        <f>ROUND(IF(IFERROR(PROPERTIES[[#This Row],[TE_COEFFICIENT_CALC]],0)=0,PROPERTIES[[#This Row],[TE_COEFFICIENT_MANUAL]],PROPERTIES[[#This Row],[TE_COEFFICIENT_CALC]]),3)</f>
        <v>0.34</v>
      </c>
      <c r="X33" s="9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1">
        <v>0</v>
      </c>
      <c r="Z33" s="7">
        <v>0</v>
      </c>
      <c r="AA33" t="s">
        <v>241</v>
      </c>
      <c r="AB33" t="s">
        <v>238</v>
      </c>
      <c r="AC33" t="s">
        <v>238</v>
      </c>
      <c r="AD33" s="2" t="s">
        <v>238</v>
      </c>
      <c r="AE33" s="2" t="s">
        <v>253</v>
      </c>
      <c r="AF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3" s="2" t="str">
        <f>SUBSTITUTE(SUBSTITUTE(PROPERTIES[[#This Row],[PURCHASECOST_VALUE]], "PURCHASECOST_", ""), "_VALUE", "")</f>
        <v>DIESELRAILBUS</v>
      </c>
      <c r="AI33" s="7" t="str" cm="1">
        <f t="array" ref="AI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3" s="43" t="b">
        <v>0</v>
      </c>
      <c r="AK33" s="8" t="b">
        <v>0</v>
      </c>
      <c r="BB33"/>
      <c r="BC33"/>
      <c r="BD33"/>
    </row>
    <row r="34" spans="1:56">
      <c r="A34" s="2" t="s">
        <v>2759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5" t="str">
        <f>_xlfn.XLOOKUP(PROPERTIES[[#This Row],[VEHIDCODE]],CONTROL[VEHIDCODE],CONTROL[ENGLISH])</f>
        <v>Tatra M120.4</v>
      </c>
      <c r="F34" t="s">
        <v>622</v>
      </c>
      <c r="G34" s="45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8">
        <v>13</v>
      </c>
      <c r="R34">
        <v>120</v>
      </c>
      <c r="S34">
        <v>60</v>
      </c>
      <c r="T34" s="25">
        <v>0</v>
      </c>
      <c r="U34" s="24">
        <f>IFERROR(PROPERTIES[[#This Row],[TE_STARTING_KN]]/(PROPERTIES[[#This Row],[WEIGHT]]*9.81),0)</f>
        <v>0</v>
      </c>
      <c r="V34" s="24">
        <v>0.15</v>
      </c>
      <c r="W34" s="21">
        <f>ROUND(IF(IFERROR(PROPERTIES[[#This Row],[TE_COEFFICIENT_CALC]],0)=0,PROPERTIES[[#This Row],[TE_COEFFICIENT_MANUAL]],PROPERTIES[[#This Row],[TE_COEFFICIENT_CALC]]),3)</f>
        <v>0.15</v>
      </c>
      <c r="X34" s="9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1">
        <v>0</v>
      </c>
      <c r="Z34" s="7">
        <v>0</v>
      </c>
      <c r="AA34" t="s">
        <v>245</v>
      </c>
      <c r="AB34" t="s">
        <v>238</v>
      </c>
      <c r="AC34" t="s">
        <v>238</v>
      </c>
      <c r="AD34" s="2" t="s">
        <v>238</v>
      </c>
      <c r="AE34" s="2" t="s">
        <v>253</v>
      </c>
      <c r="AF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4" s="2" t="str">
        <f>SUBSTITUTE(SUBSTITUTE(PROPERTIES[[#This Row],[PURCHASECOST_VALUE]], "PURCHASECOST_", ""), "_VALUE", "")</f>
        <v>DIESELRAILBUS</v>
      </c>
      <c r="AI34" s="7" t="str" cm="1">
        <f t="array" ref="AI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4" s="43" t="b">
        <v>0</v>
      </c>
      <c r="AK34" s="8" t="b">
        <v>0</v>
      </c>
      <c r="BB34"/>
      <c r="BC34"/>
      <c r="BD34"/>
    </row>
    <row r="35" spans="1:56">
      <c r="A35" s="2" t="s">
        <v>2760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5" t="str">
        <f>_xlfn.XLOOKUP(PROPERTIES[[#This Row],[VEHIDCODE]],CONTROL[VEHIDCODE],CONTROL[ENGLISH])</f>
        <v>Franz Kruckenberg Schienenzeppelin</v>
      </c>
      <c r="F35" t="s">
        <v>623</v>
      </c>
      <c r="G35" s="45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8">
        <v>20</v>
      </c>
      <c r="R35">
        <v>600</v>
      </c>
      <c r="S35">
        <v>230</v>
      </c>
      <c r="T35" s="25">
        <v>0</v>
      </c>
      <c r="U35" s="24">
        <f>IFERROR(PROPERTIES[[#This Row],[TE_STARTING_KN]]/(PROPERTIES[[#This Row],[WEIGHT]]*9.81),0)</f>
        <v>0</v>
      </c>
      <c r="V35" s="24">
        <v>0.39</v>
      </c>
      <c r="W35" s="21">
        <f>ROUND(IF(IFERROR(PROPERTIES[[#This Row],[TE_COEFFICIENT_CALC]],0)=0,PROPERTIES[[#This Row],[TE_COEFFICIENT_MANUAL]],PROPERTIES[[#This Row],[TE_COEFFICIENT_CALC]]),3)</f>
        <v>0.39</v>
      </c>
      <c r="X35" s="9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1">
        <v>0</v>
      </c>
      <c r="Z35" s="7">
        <v>0</v>
      </c>
      <c r="AA35" t="s">
        <v>239</v>
      </c>
      <c r="AB35" t="s">
        <v>238</v>
      </c>
      <c r="AC35" t="s">
        <v>238</v>
      </c>
      <c r="AD35" s="2" t="s">
        <v>238</v>
      </c>
      <c r="AE35" s="2" t="s">
        <v>253</v>
      </c>
      <c r="AF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5" s="2" t="str">
        <f>SUBSTITUTE(SUBSTITUTE(PROPERTIES[[#This Row],[PURCHASECOST_VALUE]], "PURCHASECOST_", ""), "_VALUE", "")</f>
        <v>DIESELRAILBUS</v>
      </c>
      <c r="AI35" s="7" t="str" cm="1">
        <f t="array" ref="AI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35" s="43" t="b">
        <v>0</v>
      </c>
      <c r="AK35" s="8" t="b">
        <v>0</v>
      </c>
      <c r="BB35"/>
      <c r="BC35"/>
      <c r="BD35"/>
    </row>
    <row r="36" spans="1:56">
      <c r="A36" s="2" t="s">
        <v>2761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5" t="str">
        <f>_xlfn.XLOOKUP(PROPERTIES[[#This Row],[VEHIDCODE]],CONTROL[VEHIDCODE],CONTROL[ENGLISH])</f>
        <v>DSB MO Serie 1</v>
      </c>
      <c r="F36" t="s">
        <v>625</v>
      </c>
      <c r="G36" s="45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8">
        <v>65</v>
      </c>
      <c r="R36">
        <v>500</v>
      </c>
      <c r="S36">
        <v>120</v>
      </c>
      <c r="T36" s="25">
        <v>0</v>
      </c>
      <c r="U36" s="24">
        <f>IFERROR(PROPERTIES[[#This Row],[TE_STARTING_KN]]/(PROPERTIES[[#This Row],[WEIGHT]]*9.81),0)</f>
        <v>0</v>
      </c>
      <c r="V36" s="24">
        <v>0.31</v>
      </c>
      <c r="W36" s="21">
        <f>ROUND(IF(IFERROR(PROPERTIES[[#This Row],[TE_COEFFICIENT_CALC]],0)=0,PROPERTIES[[#This Row],[TE_COEFFICIENT_MANUAL]],PROPERTIES[[#This Row],[TE_COEFFICIENT_CALC]]),3)</f>
        <v>0.31</v>
      </c>
      <c r="X36" s="9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1">
        <v>0</v>
      </c>
      <c r="Z36" s="7">
        <v>0</v>
      </c>
      <c r="AA36" t="s">
        <v>243</v>
      </c>
      <c r="AB36" t="s">
        <v>238</v>
      </c>
      <c r="AC36" t="s">
        <v>238</v>
      </c>
      <c r="AD36" s="2" t="s">
        <v>238</v>
      </c>
      <c r="AE36" s="2" t="s">
        <v>253</v>
      </c>
      <c r="AF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6" s="2" t="str">
        <f>SUBSTITUTE(SUBSTITUTE(PROPERTIES[[#This Row],[PURCHASECOST_VALUE]], "PURCHASECOST_", ""), "_VALUE", "")</f>
        <v>DIESELRAILBUS</v>
      </c>
      <c r="AI36" s="7" t="str" cm="1">
        <f t="array" ref="AI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6" s="43" t="b">
        <v>0</v>
      </c>
      <c r="AK36" s="8" t="b">
        <v>0</v>
      </c>
      <c r="BB36"/>
      <c r="BC36"/>
      <c r="BD36"/>
    </row>
    <row r="37" spans="1:56">
      <c r="A37" s="2" t="s">
        <v>2762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5" t="str">
        <f>_xlfn.XLOOKUP(PROPERTIES[[#This Row],[VEHIDCODE]],CONTROL[VEHIDCODE],CONTROL[ENGLISH])</f>
        <v>Strommens Kristine Valdresdatter</v>
      </c>
      <c r="F37" t="s">
        <v>732</v>
      </c>
      <c r="G37" s="45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8">
        <v>10</v>
      </c>
      <c r="R37">
        <v>120</v>
      </c>
      <c r="S37">
        <v>100</v>
      </c>
      <c r="T37" s="25">
        <v>0</v>
      </c>
      <c r="U37" s="24">
        <f>IFERROR(PROPERTIES[[#This Row],[TE_STARTING_KN]]/(PROPERTIES[[#This Row],[WEIGHT]]*9.81),0)</f>
        <v>0</v>
      </c>
      <c r="V37" s="24">
        <v>0.41</v>
      </c>
      <c r="W37" s="21">
        <f>ROUND(IF(IFERROR(PROPERTIES[[#This Row],[TE_COEFFICIENT_CALC]],0)=0,PROPERTIES[[#This Row],[TE_COEFFICIENT_MANUAL]],PROPERTIES[[#This Row],[TE_COEFFICIENT_CALC]]),3)</f>
        <v>0.41</v>
      </c>
      <c r="X37" s="9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1">
        <v>0</v>
      </c>
      <c r="Z37" s="7">
        <v>0</v>
      </c>
      <c r="AA37" t="s">
        <v>243</v>
      </c>
      <c r="AB37" t="s">
        <v>238</v>
      </c>
      <c r="AC37" t="s">
        <v>238</v>
      </c>
      <c r="AD37" s="2" t="s">
        <v>238</v>
      </c>
      <c r="AE37" s="2" t="s">
        <v>253</v>
      </c>
      <c r="AF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7" s="2" t="str">
        <f>SUBSTITUTE(SUBSTITUTE(PROPERTIES[[#This Row],[PURCHASECOST_VALUE]], "PURCHASECOST_", ""), "_VALUE", "")</f>
        <v>DIESELRAILBUS</v>
      </c>
      <c r="AI37" s="7" t="str" cm="1">
        <f t="array" ref="AI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7" s="43" t="b">
        <v>0</v>
      </c>
      <c r="AK37" s="8" t="b">
        <v>0</v>
      </c>
      <c r="BB37"/>
      <c r="BC37"/>
      <c r="BD37"/>
    </row>
    <row r="38" spans="1:56">
      <c r="A38" s="2" t="s">
        <v>2763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5" t="str">
        <f>_xlfn.XLOOKUP(PROPERTIES[[#This Row],[VEHIDCODE]],CONTROL[VEHIDCODE],CONTROL[ENGLISH])</f>
        <v>Tatra M290</v>
      </c>
      <c r="F38" t="s">
        <v>622</v>
      </c>
      <c r="G38" s="45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8">
        <v>36</v>
      </c>
      <c r="R38">
        <v>330</v>
      </c>
      <c r="S38">
        <v>130</v>
      </c>
      <c r="T38" s="25">
        <v>0</v>
      </c>
      <c r="U38" s="24">
        <f>IFERROR(PROPERTIES[[#This Row],[TE_STARTING_KN]]/(PROPERTIES[[#This Row],[WEIGHT]]*9.81),0)</f>
        <v>0</v>
      </c>
      <c r="V38" s="24">
        <v>0.33</v>
      </c>
      <c r="W38" s="21">
        <f>ROUND(IF(IFERROR(PROPERTIES[[#This Row],[TE_COEFFICIENT_CALC]],0)=0,PROPERTIES[[#This Row],[TE_COEFFICIENT_MANUAL]],PROPERTIES[[#This Row],[TE_COEFFICIENT_CALC]]),3)</f>
        <v>0.33</v>
      </c>
      <c r="X38" s="9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1">
        <v>0</v>
      </c>
      <c r="Z38" s="7">
        <v>0</v>
      </c>
      <c r="AA38" t="s">
        <v>245</v>
      </c>
      <c r="AB38" t="s">
        <v>238</v>
      </c>
      <c r="AC38" t="s">
        <v>238</v>
      </c>
      <c r="AD38" s="2" t="s">
        <v>238</v>
      </c>
      <c r="AE38" s="2" t="s">
        <v>253</v>
      </c>
      <c r="AF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8" s="2" t="str">
        <f>SUBSTITUTE(SUBSTITUTE(PROPERTIES[[#This Row],[PURCHASECOST_VALUE]], "PURCHASECOST_", ""), "_VALUE", "")</f>
        <v>DIESELRAILBUS</v>
      </c>
      <c r="AI38" s="7" t="str" cm="1">
        <f t="array" ref="AI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8" s="43" t="b">
        <v>0</v>
      </c>
      <c r="AK38" s="8" t="b">
        <v>0</v>
      </c>
      <c r="BB38"/>
      <c r="BC38"/>
      <c r="BD38"/>
    </row>
    <row r="39" spans="1:56">
      <c r="A39" s="2" t="s">
        <v>2764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5" t="str">
        <f>_xlfn.XLOOKUP(PROPERTIES[[#This Row],[VEHIDCODE]],CONTROL[VEHIDCODE],CONTROL[ENGLISH])</f>
        <v>Werkspoor DM37</v>
      </c>
      <c r="F39" t="s">
        <v>731</v>
      </c>
      <c r="G39" s="45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8">
        <v>53</v>
      </c>
      <c r="R39">
        <v>294</v>
      </c>
      <c r="S39">
        <v>105</v>
      </c>
      <c r="T39" s="25">
        <v>0</v>
      </c>
      <c r="U39" s="24">
        <f>IFERROR(PROPERTIES[[#This Row],[TE_STARTING_KN]]/(PROPERTIES[[#This Row],[WEIGHT]]*9.81),0)</f>
        <v>0</v>
      </c>
      <c r="V39" s="24">
        <v>0.34</v>
      </c>
      <c r="W39" s="21">
        <f>ROUND(IF(IFERROR(PROPERTIES[[#This Row],[TE_COEFFICIENT_CALC]],0)=0,PROPERTIES[[#This Row],[TE_COEFFICIENT_MANUAL]],PROPERTIES[[#This Row],[TE_COEFFICIENT_CALC]]),3)</f>
        <v>0.34</v>
      </c>
      <c r="X39" s="9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1">
        <v>0</v>
      </c>
      <c r="Z39" s="7">
        <v>0</v>
      </c>
      <c r="AA39" t="s">
        <v>239</v>
      </c>
      <c r="AB39" t="s">
        <v>238</v>
      </c>
      <c r="AC39" t="s">
        <v>238</v>
      </c>
      <c r="AD39" s="2" t="s">
        <v>238</v>
      </c>
      <c r="AE39" s="2" t="s">
        <v>253</v>
      </c>
      <c r="AF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9" s="2" t="str">
        <f>SUBSTITUTE(SUBSTITUTE(PROPERTIES[[#This Row],[PURCHASECOST_VALUE]], "PURCHASECOST_", ""), "_VALUE", "")</f>
        <v>DIESELRAILBUS</v>
      </c>
      <c r="AI39" s="7" t="str" cm="1">
        <f t="array" ref="AI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9" s="43" t="b">
        <v>0</v>
      </c>
      <c r="AK39" s="8" t="b">
        <v>0</v>
      </c>
      <c r="BB39"/>
      <c r="BC39"/>
      <c r="BD39"/>
    </row>
    <row r="40" spans="1:56">
      <c r="A40" s="2" t="s">
        <v>2765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5" t="str">
        <f>_xlfn.XLOOKUP(PROPERTIES[[#This Row],[VEHIDCODE]],CONTROL[VEHIDCODE],CONTROL[ENGLISH])</f>
        <v>Eveleigh 400 Class</v>
      </c>
      <c r="F40" t="s">
        <v>580</v>
      </c>
      <c r="G40" s="45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8">
        <v>48</v>
      </c>
      <c r="R40">
        <v>300</v>
      </c>
      <c r="S40">
        <v>100</v>
      </c>
      <c r="T40" s="25">
        <v>0</v>
      </c>
      <c r="U40" s="24">
        <f>IFERROR(PROPERTIES[[#This Row],[TE_STARTING_KN]]/(PROPERTIES[[#This Row],[WEIGHT]]*9.81),0)</f>
        <v>0</v>
      </c>
      <c r="V40" s="24">
        <v>0.34</v>
      </c>
      <c r="W40" s="21">
        <f>ROUND(IF(IFERROR(PROPERTIES[[#This Row],[TE_COEFFICIENT_CALC]],0)=0,PROPERTIES[[#This Row],[TE_COEFFICIENT_MANUAL]],PROPERTIES[[#This Row],[TE_COEFFICIENT_CALC]]),3)</f>
        <v>0.34</v>
      </c>
      <c r="X40" s="9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1">
        <v>0</v>
      </c>
      <c r="Z40" s="7">
        <v>0</v>
      </c>
      <c r="AA40" t="s">
        <v>241</v>
      </c>
      <c r="AB40" t="s">
        <v>238</v>
      </c>
      <c r="AC40" t="s">
        <v>238</v>
      </c>
      <c r="AD40" s="2" t="s">
        <v>238</v>
      </c>
      <c r="AE40" s="2" t="s">
        <v>253</v>
      </c>
      <c r="AF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0" s="2" t="str">
        <f>SUBSTITUTE(SUBSTITUTE(PROPERTIES[[#This Row],[PURCHASECOST_VALUE]], "PURCHASECOST_", ""), "_VALUE", "")</f>
        <v>DIESELRAILBUS</v>
      </c>
      <c r="AI40" s="7" t="str" cm="1">
        <f t="array" ref="AI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0" s="43" t="b">
        <v>0</v>
      </c>
      <c r="AK40" s="8" t="b">
        <v>0</v>
      </c>
      <c r="BB40"/>
      <c r="BC40"/>
      <c r="BD40"/>
    </row>
    <row r="41" spans="1:56">
      <c r="A41" s="2" t="s">
        <v>2766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5" t="str">
        <f>_xlfn.XLOOKUP(PROPERTIES[[#This Row],[VEHIDCODE]],CONTROL[VEHIDCODE],CONTROL[ENGLISH])</f>
        <v>Vale do Vouga ME51-55</v>
      </c>
      <c r="F41" t="s">
        <v>749</v>
      </c>
      <c r="G41" s="45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8">
        <v>8</v>
      </c>
      <c r="R41">
        <v>90</v>
      </c>
      <c r="S41">
        <v>89</v>
      </c>
      <c r="T41" s="25">
        <v>0</v>
      </c>
      <c r="U41" s="24">
        <f>IFERROR(PROPERTIES[[#This Row],[TE_STARTING_KN]]/(PROPERTIES[[#This Row],[WEIGHT]]*9.81),0)</f>
        <v>0</v>
      </c>
      <c r="V41" s="24">
        <v>0.2</v>
      </c>
      <c r="W41" s="21">
        <f>ROUND(IF(IFERROR(PROPERTIES[[#This Row],[TE_COEFFICIENT_CALC]],0)=0,PROPERTIES[[#This Row],[TE_COEFFICIENT_MANUAL]],PROPERTIES[[#This Row],[TE_COEFFICIENT_CALC]]),3)</f>
        <v>0.2</v>
      </c>
      <c r="X41" s="9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1">
        <v>0</v>
      </c>
      <c r="Z41" s="7">
        <v>0</v>
      </c>
      <c r="AA41" t="s">
        <v>240</v>
      </c>
      <c r="AB41" t="s">
        <v>238</v>
      </c>
      <c r="AC41" t="s">
        <v>238</v>
      </c>
      <c r="AD41" s="2" t="s">
        <v>238</v>
      </c>
      <c r="AE41" s="2" t="s">
        <v>253</v>
      </c>
      <c r="AF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1" s="2" t="str">
        <f>SUBSTITUTE(SUBSTITUTE(PROPERTIES[[#This Row],[PURCHASECOST_VALUE]], "PURCHASECOST_", ""), "_VALUE", "")</f>
        <v>DIESELRAILBUS</v>
      </c>
      <c r="AI41" s="7" t="str" cm="1">
        <f t="array" ref="AI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1" s="43" t="b">
        <v>0</v>
      </c>
      <c r="AK41" s="8" t="b">
        <v>0</v>
      </c>
      <c r="BB41"/>
      <c r="BC41"/>
      <c r="BD41"/>
    </row>
    <row r="42" spans="1:56">
      <c r="A42" s="2" t="s">
        <v>2767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5" t="str">
        <f>_xlfn.XLOOKUP(PROPERTIES[[#This Row],[VEHIDCODE]],CONTROL[VEHIDCODE],CONTROL[ENGLISH])</f>
        <v>Ateliers Germain 42/43</v>
      </c>
      <c r="F42" t="s">
        <v>587</v>
      </c>
      <c r="G42" s="45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8">
        <v>54</v>
      </c>
      <c r="R42">
        <v>400</v>
      </c>
      <c r="S42">
        <v>90</v>
      </c>
      <c r="T42" s="25">
        <v>0</v>
      </c>
      <c r="U42" s="24">
        <f>IFERROR(PROPERTIES[[#This Row],[TE_STARTING_KN]]/(PROPERTIES[[#This Row],[WEIGHT]]*9.81),0)</f>
        <v>0</v>
      </c>
      <c r="V42" s="24">
        <v>0.34</v>
      </c>
      <c r="W42" s="21">
        <f>ROUND(IF(IFERROR(PROPERTIES[[#This Row],[TE_COEFFICIENT_CALC]],0)=0,PROPERTIES[[#This Row],[TE_COEFFICIENT_MANUAL]],PROPERTIES[[#This Row],[TE_COEFFICIENT_CALC]]),3)</f>
        <v>0.34</v>
      </c>
      <c r="X42" s="9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1">
        <v>0</v>
      </c>
      <c r="Z42" s="7">
        <v>0</v>
      </c>
      <c r="AA42" t="s">
        <v>239</v>
      </c>
      <c r="AB42" t="s">
        <v>238</v>
      </c>
      <c r="AC42" t="s">
        <v>238</v>
      </c>
      <c r="AD42" s="2" t="s">
        <v>238</v>
      </c>
      <c r="AE42" s="2" t="s">
        <v>253</v>
      </c>
      <c r="AF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2" s="2" t="str">
        <f>SUBSTITUTE(SUBSTITUTE(PROPERTIES[[#This Row],[PURCHASECOST_VALUE]], "PURCHASECOST_", ""), "_VALUE", "")</f>
        <v>DIESELRAILBUS</v>
      </c>
      <c r="AI42" s="7" t="str" cm="1">
        <f t="array" ref="AI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2" s="43" t="b">
        <v>0</v>
      </c>
      <c r="AK42" s="8" t="b">
        <v>0</v>
      </c>
      <c r="BB42"/>
      <c r="BC42"/>
      <c r="BD42"/>
    </row>
    <row r="43" spans="1:56">
      <c r="A43" s="2" t="s">
        <v>2768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5" t="str">
        <f>_xlfn.XLOOKUP(PROPERTIES[[#This Row],[VEHIDCODE]],CONTROL[VEHIDCODE],CONTROL[ENGLISH])</f>
        <v>SGP 77783/1960</v>
      </c>
      <c r="F43" t="s">
        <v>589</v>
      </c>
      <c r="G43" s="45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8">
        <v>53</v>
      </c>
      <c r="R43">
        <f>2*265</f>
        <v>530</v>
      </c>
      <c r="S43">
        <v>125</v>
      </c>
      <c r="T43" s="25">
        <v>0</v>
      </c>
      <c r="U43" s="24">
        <f>IFERROR(PROPERTIES[[#This Row],[TE_STARTING_KN]]/(PROPERTIES[[#This Row],[WEIGHT]]*9.81),0)</f>
        <v>0</v>
      </c>
      <c r="V43" s="24">
        <v>0.2</v>
      </c>
      <c r="W43" s="21">
        <f>ROUND(IF(IFERROR(PROPERTIES[[#This Row],[TE_COEFFICIENT_CALC]],0)=0,PROPERTIES[[#This Row],[TE_COEFFICIENT_MANUAL]],PROPERTIES[[#This Row],[TE_COEFFICIENT_CALC]]),3)</f>
        <v>0.2</v>
      </c>
      <c r="X43" s="9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1">
        <v>0</v>
      </c>
      <c r="Z43" s="7">
        <v>0</v>
      </c>
      <c r="AA43" t="s">
        <v>245</v>
      </c>
      <c r="AB43" t="s">
        <v>238</v>
      </c>
      <c r="AC43" t="s">
        <v>238</v>
      </c>
      <c r="AD43" s="2" t="s">
        <v>238</v>
      </c>
      <c r="AE43" s="2" t="s">
        <v>253</v>
      </c>
      <c r="AF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3" s="2" t="str">
        <f>SUBSTITUTE(SUBSTITUTE(PROPERTIES[[#This Row],[PURCHASECOST_VALUE]], "PURCHASECOST_", ""), "_VALUE", "")</f>
        <v>DIESELRAILBUS</v>
      </c>
      <c r="AI43" s="7" t="str" cm="1">
        <f t="array" ref="AI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3" s="43" t="b">
        <v>0</v>
      </c>
      <c r="AK43" s="8" t="b">
        <v>0</v>
      </c>
      <c r="BB43"/>
      <c r="BC43"/>
      <c r="BD43"/>
    </row>
    <row r="44" spans="1:56">
      <c r="A44" s="2" t="s">
        <v>2769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5" t="str">
        <f>_xlfn.XLOOKUP(PROPERTIES[[#This Row],[VEHIDCODE]],CONTROL[VEHIDCODE],CONTROL[ENGLISH])</f>
        <v>Ferrostaal-Esslingen AA.71</v>
      </c>
      <c r="F44" t="s">
        <v>654</v>
      </c>
      <c r="G44" s="45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8">
        <v>48</v>
      </c>
      <c r="R44">
        <v>790</v>
      </c>
      <c r="S44">
        <v>105</v>
      </c>
      <c r="T44" s="25">
        <v>0</v>
      </c>
      <c r="U44" s="24">
        <f>IFERROR(PROPERTIES[[#This Row],[TE_STARTING_KN]]/(PROPERTIES[[#This Row],[WEIGHT]]*9.81),0)</f>
        <v>0</v>
      </c>
      <c r="V44" s="24">
        <v>0.19</v>
      </c>
      <c r="W44" s="21">
        <f>ROUND(IF(IFERROR(PROPERTIES[[#This Row],[TE_COEFFICIENT_CALC]],0)=0,PROPERTIES[[#This Row],[TE_COEFFICIENT_MANUAL]],PROPERTIES[[#This Row],[TE_COEFFICIENT_CALC]]),3)</f>
        <v>0.19</v>
      </c>
      <c r="X44" s="9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1">
        <v>0</v>
      </c>
      <c r="Z44" s="7">
        <v>0</v>
      </c>
      <c r="AA44" t="s">
        <v>240</v>
      </c>
      <c r="AB44" t="s">
        <v>238</v>
      </c>
      <c r="AC44" t="s">
        <v>238</v>
      </c>
      <c r="AD44" s="2" t="s">
        <v>238</v>
      </c>
      <c r="AE44" s="2" t="s">
        <v>253</v>
      </c>
      <c r="AF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4" s="2" t="str">
        <f>SUBSTITUTE(SUBSTITUTE(PROPERTIES[[#This Row],[PURCHASECOST_VALUE]], "PURCHASECOST_", ""), "_VALUE", "")</f>
        <v>DIESELRAILBUS</v>
      </c>
      <c r="AI44" s="7" t="str" cm="1">
        <f t="array" ref="AI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4" s="43" t="b">
        <v>0</v>
      </c>
      <c r="AK44" s="8" t="b">
        <v>0</v>
      </c>
      <c r="BB44"/>
      <c r="BC44"/>
      <c r="BD44"/>
    </row>
    <row r="45" spans="1:56">
      <c r="A45" s="2" t="s">
        <v>2770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5" t="str">
        <f>_xlfn.XLOOKUP(PROPERTIES[[#This Row],[VEHIDCODE]],CONTROL[VEHIDCODE],CONTROL[ENGLISH])</f>
        <v>Alsthom Z-431</v>
      </c>
      <c r="F45" t="s">
        <v>787</v>
      </c>
      <c r="G45" s="45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8">
        <v>60</v>
      </c>
      <c r="R45">
        <v>1045</v>
      </c>
      <c r="S45">
        <v>130</v>
      </c>
      <c r="T45" s="25">
        <v>0</v>
      </c>
      <c r="U45" s="24">
        <f>IFERROR(PROPERTIES[[#This Row],[TE_STARTING_KN]]/(PROPERTIES[[#This Row],[WEIGHT]]*9.81),0)</f>
        <v>0</v>
      </c>
      <c r="V45" s="24">
        <v>0.38</v>
      </c>
      <c r="W45" s="21">
        <f>ROUND(IF(IFERROR(PROPERTIES[[#This Row],[TE_COEFFICIENT_CALC]],0)=0,PROPERTIES[[#This Row],[TE_COEFFICIENT_MANUAL]],PROPERTIES[[#This Row],[TE_COEFFICIENT_CALC]]),3)</f>
        <v>0.38</v>
      </c>
      <c r="X45" s="9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1">
        <v>0</v>
      </c>
      <c r="Z45" s="7">
        <v>0</v>
      </c>
      <c r="AA45" t="s">
        <v>242</v>
      </c>
      <c r="AB45" t="s">
        <v>238</v>
      </c>
      <c r="AC45" t="s">
        <v>238</v>
      </c>
      <c r="AD45" s="2" t="s">
        <v>238</v>
      </c>
      <c r="AE45" s="2" t="s">
        <v>253</v>
      </c>
      <c r="AF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5" s="2" t="str">
        <f>SUBSTITUTE(SUBSTITUTE(PROPERTIES[[#This Row],[PURCHASECOST_VALUE]], "PURCHASECOST_", ""), "_VALUE", "")</f>
        <v>DIESELRAILBUS</v>
      </c>
      <c r="AI45" s="7" t="str" cm="1">
        <f t="array" ref="AI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" s="43" t="b">
        <v>0</v>
      </c>
      <c r="AK45" s="8" t="b">
        <v>0</v>
      </c>
      <c r="BB45"/>
      <c r="BC45"/>
      <c r="BD45"/>
    </row>
    <row r="46" spans="1:56">
      <c r="A46" s="2" t="s">
        <v>2771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5" t="str">
        <f>_xlfn.XLOOKUP(PROPERTIES[[#This Row],[VEHIDCODE]],CONTROL[VEHIDCODE],CONTROL[ENGLISH])</f>
        <v>Budd SPV-2000</v>
      </c>
      <c r="F46" t="s">
        <v>796</v>
      </c>
      <c r="G46" s="45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8">
        <v>58</v>
      </c>
      <c r="R46">
        <v>360</v>
      </c>
      <c r="S46">
        <v>130</v>
      </c>
      <c r="T46" s="25">
        <v>0</v>
      </c>
      <c r="U46" s="24">
        <f>IFERROR(PROPERTIES[[#This Row],[TE_STARTING_KN]]/(PROPERTIES[[#This Row],[WEIGHT]]*9.81),0)</f>
        <v>0</v>
      </c>
      <c r="V46" s="24">
        <v>0.26</v>
      </c>
      <c r="W46" s="21">
        <f>ROUND(IF(IFERROR(PROPERTIES[[#This Row],[TE_COEFFICIENT_CALC]],0)=0,PROPERTIES[[#This Row],[TE_COEFFICIENT_MANUAL]],PROPERTIES[[#This Row],[TE_COEFFICIENT_CALC]]),3)</f>
        <v>0.26</v>
      </c>
      <c r="X46" s="9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1">
        <v>0</v>
      </c>
      <c r="Z46" s="7">
        <v>0</v>
      </c>
      <c r="AA46" t="s">
        <v>244</v>
      </c>
      <c r="AB46" t="s">
        <v>242</v>
      </c>
      <c r="AC46" t="s">
        <v>238</v>
      </c>
      <c r="AD46" s="2" t="s">
        <v>238</v>
      </c>
      <c r="AE46" s="2" t="s">
        <v>253</v>
      </c>
      <c r="AF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6" s="2" t="str">
        <f>SUBSTITUTE(SUBSTITUTE(PROPERTIES[[#This Row],[PURCHASECOST_VALUE]], "PURCHASECOST_", ""), "_VALUE", "")</f>
        <v>DIESELRAILBUS</v>
      </c>
      <c r="AI46" s="7" t="str" cm="1">
        <f t="array" ref="AI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" s="43" t="b">
        <v>0</v>
      </c>
      <c r="AK46" s="8" t="b">
        <v>0</v>
      </c>
      <c r="BB46"/>
      <c r="BC46"/>
      <c r="BD46"/>
    </row>
    <row r="47" spans="1:56">
      <c r="A47" s="2" t="s">
        <v>2772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5" t="str">
        <f>_xlfn.XLOOKUP(PROPERTIES[[#This Row],[VEHIDCODE]],CONTROL[VEHIDCODE],CONTROL[ENGLISH])</f>
        <v>CKD Vagonka Dm12</v>
      </c>
      <c r="F47" t="s">
        <v>636</v>
      </c>
      <c r="G47" s="45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8">
        <v>48</v>
      </c>
      <c r="R47">
        <v>404</v>
      </c>
      <c r="S47">
        <v>120</v>
      </c>
      <c r="T47" s="25">
        <v>0</v>
      </c>
      <c r="U47" s="24">
        <f>IFERROR(PROPERTIES[[#This Row],[TE_STARTING_KN]]/(PROPERTIES[[#This Row],[WEIGHT]]*9.81),0)</f>
        <v>0</v>
      </c>
      <c r="V47" s="24">
        <v>0.35</v>
      </c>
      <c r="W47" s="21">
        <f>ROUND(IF(IFERROR(PROPERTIES[[#This Row],[TE_COEFFICIENT_CALC]],0)=0,PROPERTIES[[#This Row],[TE_COEFFICIENT_MANUAL]],PROPERTIES[[#This Row],[TE_COEFFICIENT_CALC]]),3)</f>
        <v>0.35</v>
      </c>
      <c r="X47" s="9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1">
        <v>0</v>
      </c>
      <c r="Z47" s="7">
        <v>0</v>
      </c>
      <c r="AA47" t="s">
        <v>243</v>
      </c>
      <c r="AB47" t="s">
        <v>238</v>
      </c>
      <c r="AC47" t="s">
        <v>238</v>
      </c>
      <c r="AD47" s="2" t="s">
        <v>238</v>
      </c>
      <c r="AE47" s="2" t="s">
        <v>253</v>
      </c>
      <c r="AF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7" s="2" t="str">
        <f>SUBSTITUTE(SUBSTITUTE(PROPERTIES[[#This Row],[PURCHASECOST_VALUE]], "PURCHASECOST_", ""), "_VALUE", "")</f>
        <v>DIESELRAILBUS</v>
      </c>
      <c r="AI47" s="7" t="str" cm="1">
        <f t="array" ref="AI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" s="43" t="b">
        <v>0</v>
      </c>
      <c r="AK47" s="8" t="b">
        <v>0</v>
      </c>
      <c r="BB47"/>
      <c r="BC47"/>
      <c r="BD47"/>
    </row>
    <row r="48" spans="1:56">
      <c r="A48" s="2" t="s">
        <v>3536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5" t="str">
        <f>_xlfn.XLOOKUP(PROPERTIES[[#This Row],[VEHIDCODE]],CONTROL[VEHIDCODE],CONTROL[ENGLISH])</f>
        <v>Stadler Regio-Shuttle RS1</v>
      </c>
      <c r="F48" t="s">
        <v>622</v>
      </c>
      <c r="G48" s="45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8">
        <v>40</v>
      </c>
      <c r="R48">
        <v>710</v>
      </c>
      <c r="S48">
        <v>120</v>
      </c>
      <c r="T48" s="25">
        <v>100</v>
      </c>
      <c r="U48" s="24">
        <f>IFERROR(PROPERTIES[[#This Row],[TE_STARTING_KN]]/(PROPERTIES[[#This Row],[WEIGHT]]*9.81),0)</f>
        <v>0.254841997961264</v>
      </c>
      <c r="V48" s="24">
        <v>0</v>
      </c>
      <c r="W48" s="21">
        <f>ROUND(IF(IFERROR(PROPERTIES[[#This Row],[TE_COEFFICIENT_CALC]],0)=0,PROPERTIES[[#This Row],[TE_COEFFICIENT_MANUAL]],PROPERTIES[[#This Row],[TE_COEFFICIENT_CALC]]),3)</f>
        <v>0.255</v>
      </c>
      <c r="X48" s="9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1">
        <v>0</v>
      </c>
      <c r="Z48" s="7">
        <v>0</v>
      </c>
      <c r="AA48" t="s">
        <v>245</v>
      </c>
      <c r="AB48" t="s">
        <v>238</v>
      </c>
      <c r="AC48" t="s">
        <v>238</v>
      </c>
      <c r="AD48" s="2" t="s">
        <v>238</v>
      </c>
      <c r="AE48" s="2" t="s">
        <v>253</v>
      </c>
      <c r="AF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8" s="2" t="str">
        <f>SUBSTITUTE(SUBSTITUTE(PROPERTIES[[#This Row],[PURCHASECOST_VALUE]], "PURCHASECOST_", ""), "_VALUE", "")</f>
        <v>DIESELRAILBUS</v>
      </c>
      <c r="AI48" s="7" t="str" cm="1">
        <f t="array" ref="AI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" s="43" t="b">
        <v>0</v>
      </c>
      <c r="AK48" s="8" t="b">
        <v>0</v>
      </c>
      <c r="BB48"/>
      <c r="BC48"/>
      <c r="BD48"/>
    </row>
    <row r="49" spans="1:56">
      <c r="A49" s="2" t="s">
        <v>2773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5" t="str">
        <f>_xlfn.XLOOKUP(PROPERTIES[[#This Row],[VEHIDCODE]],CONTROL[VEHIDCODE],CONTROL[ENGLISH])</f>
        <v>Fiat Ferroviaria ALn 668.1400</v>
      </c>
      <c r="F49" t="s">
        <v>675</v>
      </c>
      <c r="G49" s="45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8">
        <v>36</v>
      </c>
      <c r="R49">
        <v>335</v>
      </c>
      <c r="S49">
        <v>130</v>
      </c>
      <c r="T49" s="25">
        <v>0</v>
      </c>
      <c r="U49" s="24">
        <f>IFERROR(PROPERTIES[[#This Row],[TE_STARTING_KN]]/(PROPERTIES[[#This Row],[WEIGHT]]*9.81),0)</f>
        <v>0</v>
      </c>
      <c r="V49" s="24">
        <v>0.23</v>
      </c>
      <c r="W49" s="21">
        <f>ROUND(IF(IFERROR(PROPERTIES[[#This Row],[TE_COEFFICIENT_CALC]],0)=0,PROPERTIES[[#This Row],[TE_COEFFICIENT_MANUAL]],PROPERTIES[[#This Row],[TE_COEFFICIENT_CALC]]),3)</f>
        <v>0.23</v>
      </c>
      <c r="X49" s="9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1">
        <v>0</v>
      </c>
      <c r="Z49" s="7">
        <v>0</v>
      </c>
      <c r="AA49" t="s">
        <v>240</v>
      </c>
      <c r="AB49" t="s">
        <v>238</v>
      </c>
      <c r="AC49" t="s">
        <v>238</v>
      </c>
      <c r="AD49" s="2" t="s">
        <v>238</v>
      </c>
      <c r="AE49" s="2" t="s">
        <v>253</v>
      </c>
      <c r="AF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9" s="2" t="str">
        <f>SUBSTITUTE(SUBSTITUTE(PROPERTIES[[#This Row],[PURCHASECOST_VALUE]], "PURCHASECOST_", ""), "_VALUE", "")</f>
        <v>DIESELRAILBUS</v>
      </c>
      <c r="AI49" s="7" t="str" cm="1">
        <f t="array" ref="AI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" s="43" t="b">
        <v>0</v>
      </c>
      <c r="AK49" s="8" t="b">
        <v>0</v>
      </c>
      <c r="BB49"/>
      <c r="BC49"/>
      <c r="BD49"/>
    </row>
    <row r="50" spans="1:56">
      <c r="A50" s="2" t="s">
        <v>2774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5" t="str">
        <f>_xlfn.XLOOKUP(PROPERTIES[[#This Row],[VEHIDCODE]],CONTROL[VEHIDCODE],CONTROL[ENGLISH])</f>
        <v>Ringhoffer 40.001</v>
      </c>
      <c r="F50" t="s">
        <v>622</v>
      </c>
      <c r="G50" s="45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8">
        <v>23</v>
      </c>
      <c r="R50">
        <v>150</v>
      </c>
      <c r="S50">
        <v>35</v>
      </c>
      <c r="T50" s="25">
        <v>0</v>
      </c>
      <c r="U50" s="24">
        <f>IFERROR(PROPERTIES[[#This Row],[TE_STARTING_KN]]/(PROPERTIES[[#This Row],[WEIGHT]]*9.81),0)</f>
        <v>0</v>
      </c>
      <c r="V50" s="24">
        <v>0.33</v>
      </c>
      <c r="W50" s="21">
        <f>ROUND(IF(IFERROR(PROPERTIES[[#This Row],[TE_COEFFICIENT_CALC]],0)=0,PROPERTIES[[#This Row],[TE_COEFFICIENT_MANUAL]],PROPERTIES[[#This Row],[TE_COEFFICIENT_CALC]]),3)</f>
        <v>0.33</v>
      </c>
      <c r="X50" s="9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1">
        <v>0</v>
      </c>
      <c r="Z50" s="7">
        <v>0</v>
      </c>
      <c r="AA50" t="s">
        <v>245</v>
      </c>
      <c r="AB50" t="s">
        <v>238</v>
      </c>
      <c r="AC50" t="s">
        <v>238</v>
      </c>
      <c r="AD50" s="2" t="s">
        <v>238</v>
      </c>
      <c r="AE50" s="2" t="s">
        <v>253</v>
      </c>
      <c r="AF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0" s="2" t="str">
        <f>SUBSTITUTE(SUBSTITUTE(PROPERTIES[[#This Row],[PURCHASECOST_VALUE]], "PURCHASECOST_", ""), "_VALUE", "")</f>
        <v>ELECTRICRAILBUS</v>
      </c>
      <c r="AI50" s="7" t="str" cm="1">
        <f t="array" ref="AI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" s="43" t="b">
        <v>0</v>
      </c>
      <c r="AK50" s="8" t="b">
        <v>0</v>
      </c>
      <c r="BB50"/>
      <c r="BC50"/>
      <c r="BD50"/>
    </row>
    <row r="51" spans="1:56">
      <c r="A51" s="2" t="s">
        <v>2775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5" t="str">
        <f>_xlfn.XLOOKUP(PROPERTIES[[#This Row],[VEHIDCODE]],CONTROL[VEHIDCODE],CONTROL[ENGLISH])</f>
        <v>Decauville Z 7100</v>
      </c>
      <c r="F51" t="s">
        <v>641</v>
      </c>
      <c r="G51" s="45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8">
        <v>55</v>
      </c>
      <c r="R51">
        <v>1260</v>
      </c>
      <c r="S51">
        <v>130</v>
      </c>
      <c r="T51" s="25">
        <v>0</v>
      </c>
      <c r="U51" s="24">
        <f>IFERROR(PROPERTIES[[#This Row],[TE_STARTING_KN]]/(PROPERTIES[[#This Row],[WEIGHT]]*9.81),0)</f>
        <v>0</v>
      </c>
      <c r="V51" s="24">
        <v>0.21</v>
      </c>
      <c r="W51" s="21">
        <f>ROUND(IF(IFERROR(PROPERTIES[[#This Row],[TE_COEFFICIENT_CALC]],0)=0,PROPERTIES[[#This Row],[TE_COEFFICIENT_MANUAL]],PROPERTIES[[#This Row],[TE_COEFFICIENT_CALC]]),3)</f>
        <v>0.21</v>
      </c>
      <c r="X51" s="9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1">
        <v>0</v>
      </c>
      <c r="Z51" s="7">
        <v>0</v>
      </c>
      <c r="AA51" t="s">
        <v>239</v>
      </c>
      <c r="AB51" t="s">
        <v>238</v>
      </c>
      <c r="AC51" t="s">
        <v>238</v>
      </c>
      <c r="AD51" s="2" t="s">
        <v>238</v>
      </c>
      <c r="AE51" s="2" t="s">
        <v>253</v>
      </c>
      <c r="AF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1" s="2" t="str">
        <f>SUBSTITUTE(SUBSTITUTE(PROPERTIES[[#This Row],[PURCHASECOST_VALUE]], "PURCHASECOST_", ""), "_VALUE", "")</f>
        <v>ELECTRICRAILBUS</v>
      </c>
      <c r="AI51" s="7" t="str" cm="1">
        <f t="array" ref="AI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" s="43" t="b">
        <v>0</v>
      </c>
      <c r="AK51" s="8" t="b">
        <v>0</v>
      </c>
      <c r="BB51"/>
      <c r="BC51"/>
      <c r="BD51"/>
    </row>
    <row r="52" spans="1:56">
      <c r="A52" s="2" t="s">
        <v>2776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5" t="str">
        <f>_xlfn.XLOOKUP(PROPERTIES[[#This Row],[VEHIDCODE]],CONTROL[VEHIDCODE],CONTROL[ENGLISH])</f>
        <v>HAWA/AEG Kleinbahn Nr. 1-3</v>
      </c>
      <c r="F52" t="s">
        <v>623</v>
      </c>
      <c r="G52" s="45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8">
        <v>23</v>
      </c>
      <c r="R52">
        <v>175</v>
      </c>
      <c r="S52">
        <v>50</v>
      </c>
      <c r="T52" s="25">
        <v>0</v>
      </c>
      <c r="U52" s="24">
        <f>IFERROR(PROPERTIES[[#This Row],[TE_STARTING_KN]]/(PROPERTIES[[#This Row],[WEIGHT]]*9.81),0)</f>
        <v>0</v>
      </c>
      <c r="V52" s="24">
        <v>0.08</v>
      </c>
      <c r="W52" s="21">
        <f>ROUND(IF(IFERROR(PROPERTIES[[#This Row],[TE_COEFFICIENT_CALC]],0)=0,PROPERTIES[[#This Row],[TE_COEFFICIENT_MANUAL]],PROPERTIES[[#This Row],[TE_COEFFICIENT_CALC]]),3)</f>
        <v>0.08</v>
      </c>
      <c r="X52" s="9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1">
        <v>0</v>
      </c>
      <c r="Z52" s="7">
        <v>0</v>
      </c>
      <c r="AA52" t="s">
        <v>239</v>
      </c>
      <c r="AB52" t="s">
        <v>238</v>
      </c>
      <c r="AC52" t="s">
        <v>238</v>
      </c>
      <c r="AD52" s="2" t="s">
        <v>238</v>
      </c>
      <c r="AE52" s="2" t="s">
        <v>253</v>
      </c>
      <c r="AF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2" s="2" t="str">
        <f>SUBSTITUTE(SUBSTITUTE(PROPERTIES[[#This Row],[PURCHASECOST_VALUE]], "PURCHASECOST_", ""), "_VALUE", "")</f>
        <v>ELECTRICRAILBUS</v>
      </c>
      <c r="AI52" s="7" t="str" cm="1">
        <f t="array" ref="AI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" s="43" t="b">
        <v>0</v>
      </c>
      <c r="AK52" s="8" t="b">
        <v>0</v>
      </c>
      <c r="BB52"/>
      <c r="BC52"/>
      <c r="BD52"/>
    </row>
    <row r="53" spans="1:56">
      <c r="A53" s="2" t="s">
        <v>3553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5" t="str">
        <f>_xlfn.XLOOKUP(PROPERTIES[[#This Row],[VEHIDCODE]],CONTROL[VEHIDCODE],CONTROL[ENGLISH])</f>
        <v>Raw Schoneweide 479.201</v>
      </c>
      <c r="F53" t="s">
        <v>623</v>
      </c>
      <c r="G53" s="45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8">
        <v>28</v>
      </c>
      <c r="R53">
        <v>285</v>
      </c>
      <c r="S53">
        <v>50</v>
      </c>
      <c r="T53" s="25">
        <v>60</v>
      </c>
      <c r="U53" s="24">
        <f>IFERROR(PROPERTIES[[#This Row],[TE_STARTING_KN]]/(PROPERTIES[[#This Row],[WEIGHT]]*9.81),0)</f>
        <v>0.218435998252512</v>
      </c>
      <c r="V53" s="24">
        <v>0</v>
      </c>
      <c r="W53" s="21">
        <f>ROUND(IF(IFERROR(PROPERTIES[[#This Row],[TE_COEFFICIENT_CALC]],0)=0,PROPERTIES[[#This Row],[TE_COEFFICIENT_MANUAL]],PROPERTIES[[#This Row],[TE_COEFFICIENT_CALC]]),3)</f>
        <v>0.218</v>
      </c>
      <c r="X53" s="9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1">
        <v>0</v>
      </c>
      <c r="Z53" s="7">
        <v>0</v>
      </c>
      <c r="AA53" t="s">
        <v>239</v>
      </c>
      <c r="AB53" t="s">
        <v>238</v>
      </c>
      <c r="AC53" t="s">
        <v>238</v>
      </c>
      <c r="AD53" s="2" t="s">
        <v>238</v>
      </c>
      <c r="AE53" s="2" t="s">
        <v>253</v>
      </c>
      <c r="AF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3" s="2" t="str">
        <f>SUBSTITUTE(SUBSTITUTE(PROPERTIES[[#This Row],[PURCHASECOST_VALUE]], "PURCHASECOST_", ""), "_VALUE", "")</f>
        <v>ELECTRICRAILBUS</v>
      </c>
      <c r="AI53" s="7" t="str" cm="1">
        <f t="array" ref="AI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" s="43" t="b">
        <v>0</v>
      </c>
      <c r="AK53" s="8" t="b">
        <v>0</v>
      </c>
      <c r="BB53"/>
      <c r="BC53"/>
      <c r="BD53"/>
    </row>
    <row r="54" spans="1:56">
      <c r="A54" s="2" t="s">
        <v>2777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5" t="str">
        <f>_xlfn.XLOOKUP(PROPERTIES[[#This Row],[VEHIDCODE]],CONTROL[VEHIDCODE],CONTROL[ENGLISH])</f>
        <v>Studenka 425.95</v>
      </c>
      <c r="F54" t="s">
        <v>766</v>
      </c>
      <c r="G54" s="45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8">
        <v>45</v>
      </c>
      <c r="R54">
        <v>240</v>
      </c>
      <c r="S54">
        <v>40</v>
      </c>
      <c r="T54" s="25">
        <v>0</v>
      </c>
      <c r="U54" s="24">
        <f>IFERROR(PROPERTIES[[#This Row],[TE_STARTING_KN]]/(PROPERTIES[[#This Row],[WEIGHT]]*9.81),0)</f>
        <v>0</v>
      </c>
      <c r="V54" s="24">
        <v>0.2</v>
      </c>
      <c r="W54" s="21">
        <f>ROUND(IF(IFERROR(PROPERTIES[[#This Row],[TE_COEFFICIENT_CALC]],0)=0,PROPERTIES[[#This Row],[TE_COEFFICIENT_MANUAL]],PROPERTIES[[#This Row],[TE_COEFFICIENT_CALC]]),3)</f>
        <v>0.2</v>
      </c>
      <c r="X54" s="9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1">
        <v>0</v>
      </c>
      <c r="Z54" s="7">
        <v>0</v>
      </c>
      <c r="AA54" t="s">
        <v>245</v>
      </c>
      <c r="AB54" t="s">
        <v>238</v>
      </c>
      <c r="AC54" t="s">
        <v>238</v>
      </c>
      <c r="AD54" s="2" t="s">
        <v>238</v>
      </c>
      <c r="AE54" s="2" t="s">
        <v>253</v>
      </c>
      <c r="AF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4" s="2" t="str">
        <f>SUBSTITUTE(SUBSTITUTE(PROPERTIES[[#This Row],[PURCHASECOST_VALUE]], "PURCHASECOST_", ""), "_VALUE", "")</f>
        <v>ELECTRICRAILBUS</v>
      </c>
      <c r="AI54" s="7" t="str" cm="1">
        <f t="array" ref="AI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" s="43" t="b">
        <v>0</v>
      </c>
      <c r="AK54" s="8" t="b">
        <v>0</v>
      </c>
      <c r="BB54"/>
      <c r="BC54"/>
      <c r="BD54"/>
    </row>
    <row r="55" spans="1:56">
      <c r="A55" s="2" t="s">
        <v>2778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5" t="str">
        <f>_xlfn.XLOOKUP(PROPERTIES[[#This Row],[VEHIDCODE]],CONTROL[VEHIDCODE],CONTROL[ENGLISH])</f>
        <v>Pozzuoli - OCREN OM ALe 840</v>
      </c>
      <c r="F55" t="s">
        <v>675</v>
      </c>
      <c r="G55" s="45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8">
        <v>58</v>
      </c>
      <c r="R55">
        <v>800</v>
      </c>
      <c r="S55">
        <v>150</v>
      </c>
      <c r="T55" s="25">
        <v>0</v>
      </c>
      <c r="U55" s="24">
        <f>IFERROR(PROPERTIES[[#This Row],[TE_STARTING_KN]]/(PROPERTIES[[#This Row],[WEIGHT]]*9.81),0)</f>
        <v>0</v>
      </c>
      <c r="V55" s="24">
        <v>0.21</v>
      </c>
      <c r="W55" s="21">
        <f>ROUND(IF(IFERROR(PROPERTIES[[#This Row],[TE_COEFFICIENT_CALC]],0)=0,PROPERTIES[[#This Row],[TE_COEFFICIENT_MANUAL]],PROPERTIES[[#This Row],[TE_COEFFICIENT_CALC]]),3)</f>
        <v>0.21</v>
      </c>
      <c r="X55" s="9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1">
        <v>0</v>
      </c>
      <c r="Z55" s="7">
        <v>0</v>
      </c>
      <c r="AA55" t="s">
        <v>240</v>
      </c>
      <c r="AB55" t="s">
        <v>238</v>
      </c>
      <c r="AC55" t="s">
        <v>238</v>
      </c>
      <c r="AD55" s="2" t="s">
        <v>238</v>
      </c>
      <c r="AE55" s="2" t="s">
        <v>253</v>
      </c>
      <c r="AF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5" s="2" t="str">
        <f>SUBSTITUTE(SUBSTITUTE(PROPERTIES[[#This Row],[PURCHASECOST_VALUE]], "PURCHASECOST_", ""), "_VALUE", "")</f>
        <v>ELECTRICRAILBUS</v>
      </c>
      <c r="AI55" s="7" t="str" cm="1">
        <f t="array" ref="AI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" s="43" t="b">
        <v>0</v>
      </c>
      <c r="AK55" s="8" t="b">
        <v>0</v>
      </c>
      <c r="BB55"/>
      <c r="BC55"/>
      <c r="BD55"/>
    </row>
    <row r="56" spans="1:56">
      <c r="A56" s="2" t="s">
        <v>2779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5" t="str">
        <f>_xlfn.XLOOKUP(PROPERTIES[[#This Row],[VEHIDCODE]],CONTROL[VEHIDCODE],CONTROL[ENGLISH])</f>
        <v>Stanga ALe 80</v>
      </c>
      <c r="F56" t="s">
        <v>675</v>
      </c>
      <c r="G56" s="45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8">
        <v>49</v>
      </c>
      <c r="R56">
        <v>770</v>
      </c>
      <c r="S56">
        <v>110</v>
      </c>
      <c r="T56" s="25">
        <v>0</v>
      </c>
      <c r="U56" s="24">
        <f>IFERROR(PROPERTIES[[#This Row],[TE_STARTING_KN]]/(PROPERTIES[[#This Row],[WEIGHT]]*9.81),0)</f>
        <v>0</v>
      </c>
      <c r="V56" s="24">
        <v>0.17</v>
      </c>
      <c r="W56" s="21">
        <f>ROUND(IF(IFERROR(PROPERTIES[[#This Row],[TE_COEFFICIENT_CALC]],0)=0,PROPERTIES[[#This Row],[TE_COEFFICIENT_MANUAL]],PROPERTIES[[#This Row],[TE_COEFFICIENT_CALC]]),3)</f>
        <v>0.17</v>
      </c>
      <c r="X56" s="9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1">
        <v>0</v>
      </c>
      <c r="Z56" s="7">
        <v>0</v>
      </c>
      <c r="AA56" t="s">
        <v>240</v>
      </c>
      <c r="AB56" t="s">
        <v>238</v>
      </c>
      <c r="AC56" t="s">
        <v>238</v>
      </c>
      <c r="AD56" s="2" t="s">
        <v>238</v>
      </c>
      <c r="AE56" s="2" t="s">
        <v>253</v>
      </c>
      <c r="AF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6" s="2" t="str">
        <f>SUBSTITUTE(SUBSTITUTE(PROPERTIES[[#This Row],[PURCHASECOST_VALUE]], "PURCHASECOST_", ""), "_VALUE", "")</f>
        <v>ELECTRICRAILBUS</v>
      </c>
      <c r="AI56" s="7" t="str" cm="1">
        <f t="array" ref="AI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6" s="43" t="b">
        <v>0</v>
      </c>
      <c r="AK56" s="8" t="b">
        <v>0</v>
      </c>
      <c r="BB56"/>
      <c r="BC56"/>
      <c r="BD56"/>
    </row>
    <row r="57" spans="1:56">
      <c r="A57" s="2" t="s">
        <v>2780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5" t="str">
        <f>_xlfn.XLOOKUP(PROPERTIES[[#This Row],[VEHIDCODE]],CONTROL[VEHIDCODE],CONTROL[ENGLISH])</f>
        <v>FS E.623</v>
      </c>
      <c r="F57" t="s">
        <v>675</v>
      </c>
      <c r="G57" s="45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8">
        <v>66</v>
      </c>
      <c r="R57">
        <v>965</v>
      </c>
      <c r="S57">
        <v>110</v>
      </c>
      <c r="T57" s="25">
        <v>0</v>
      </c>
      <c r="U57" s="24">
        <f>IFERROR(PROPERTIES[[#This Row],[TE_STARTING_KN]]/(PROPERTIES[[#This Row],[WEIGHT]]*9.81),0)</f>
        <v>0</v>
      </c>
      <c r="V57" s="24">
        <v>0.08</v>
      </c>
      <c r="W57" s="21">
        <f>ROUND(IF(IFERROR(PROPERTIES[[#This Row],[TE_COEFFICIENT_CALC]],0)=0,PROPERTIES[[#This Row],[TE_COEFFICIENT_MANUAL]],PROPERTIES[[#This Row],[TE_COEFFICIENT_CALC]]),3)</f>
        <v>0.08</v>
      </c>
      <c r="X57" s="9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1">
        <v>0</v>
      </c>
      <c r="Z57" s="7">
        <v>0</v>
      </c>
      <c r="AA57" t="s">
        <v>240</v>
      </c>
      <c r="AB57" t="s">
        <v>238</v>
      </c>
      <c r="AC57" t="s">
        <v>238</v>
      </c>
      <c r="AD57" s="2" t="s">
        <v>238</v>
      </c>
      <c r="AE57" s="2" t="s">
        <v>253</v>
      </c>
      <c r="AF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7" s="2" t="str">
        <f>SUBSTITUTE(SUBSTITUTE(PROPERTIES[[#This Row],[PURCHASECOST_VALUE]], "PURCHASECOST_", ""), "_VALUE", "")</f>
        <v>ELECTRICRAILBUS</v>
      </c>
      <c r="AI57" s="7" t="str" cm="1">
        <f t="array" ref="AI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7" s="43" t="b">
        <v>0</v>
      </c>
      <c r="AK57" s="8" t="b">
        <v>0</v>
      </c>
      <c r="BB57"/>
      <c r="BC57"/>
      <c r="BD57"/>
    </row>
    <row r="58" spans="1:56">
      <c r="A58" s="2" t="s">
        <v>2781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5" t="str">
        <f>_xlfn.XLOOKUP(PROPERTIES[[#This Row],[VEHIDCODE]],CONTROL[VEHIDCODE],CONTROL[ENGLISH])</f>
        <v>ONCF ZAB1000</v>
      </c>
      <c r="F58" t="s">
        <v>702</v>
      </c>
      <c r="G58" s="45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8">
        <v>40</v>
      </c>
      <c r="R58">
        <v>480</v>
      </c>
      <c r="S58">
        <v>85</v>
      </c>
      <c r="T58" s="25">
        <v>0</v>
      </c>
      <c r="U58" s="24">
        <f>IFERROR(PROPERTIES[[#This Row],[TE_STARTING_KN]]/(PROPERTIES[[#This Row],[WEIGHT]]*9.81),0)</f>
        <v>0</v>
      </c>
      <c r="V58" s="24">
        <v>0.13</v>
      </c>
      <c r="W58" s="21">
        <f>ROUND(IF(IFERROR(PROPERTIES[[#This Row],[TE_COEFFICIENT_CALC]],0)=0,PROPERTIES[[#This Row],[TE_COEFFICIENT_MANUAL]],PROPERTIES[[#This Row],[TE_COEFFICIENT_CALC]]),3)</f>
        <v>0.13</v>
      </c>
      <c r="X58" s="9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1">
        <v>0</v>
      </c>
      <c r="Z58" s="7">
        <v>0</v>
      </c>
      <c r="AA58" t="s">
        <v>242</v>
      </c>
      <c r="AB58" t="s">
        <v>238</v>
      </c>
      <c r="AC58" t="s">
        <v>238</v>
      </c>
      <c r="AD58" s="2" t="s">
        <v>238</v>
      </c>
      <c r="AE58" s="2" t="s">
        <v>253</v>
      </c>
      <c r="AF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8" s="2" t="str">
        <f>SUBSTITUTE(SUBSTITUTE(PROPERTIES[[#This Row],[PURCHASECOST_VALUE]], "PURCHASECOST_", ""), "_VALUE", "")</f>
        <v>ELECTRICRAILBUS</v>
      </c>
      <c r="AI58" s="7" t="str" cm="1">
        <f t="array" ref="AI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" s="43" t="b">
        <v>0</v>
      </c>
      <c r="AK58" s="8" t="b">
        <v>0</v>
      </c>
      <c r="BB58"/>
      <c r="BC58"/>
      <c r="BD58"/>
    </row>
    <row r="59" spans="1:56">
      <c r="A59" s="2" t="s">
        <v>2782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5" t="str">
        <f>_xlfn.XLOOKUP(PROPERTIES[[#This Row],[VEHIDCODE]],CONTROL[VEHIDCODE],CONTROL[ENGLISH])</f>
        <v>Pesa 308B</v>
      </c>
      <c r="F59" t="s">
        <v>744</v>
      </c>
      <c r="G59" s="45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8">
        <v>53</v>
      </c>
      <c r="R59">
        <v>750</v>
      </c>
      <c r="S59">
        <v>120</v>
      </c>
      <c r="T59" s="25">
        <v>0</v>
      </c>
      <c r="U59" s="24">
        <f>IFERROR(PROPERTIES[[#This Row],[TE_STARTING_KN]]/(PROPERTIES[[#This Row],[WEIGHT]]*9.81),0)</f>
        <v>0</v>
      </c>
      <c r="V59" s="24">
        <v>0.08</v>
      </c>
      <c r="W59" s="21">
        <f>ROUND(IF(IFERROR(PROPERTIES[[#This Row],[TE_COEFFICIENT_CALC]],0)=0,PROPERTIES[[#This Row],[TE_COEFFICIENT_MANUAL]],PROPERTIES[[#This Row],[TE_COEFFICIENT_CALC]]),3)</f>
        <v>0.08</v>
      </c>
      <c r="X59" s="9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1">
        <v>0</v>
      </c>
      <c r="Z59" s="7">
        <v>0</v>
      </c>
      <c r="AA59" t="s">
        <v>245</v>
      </c>
      <c r="AB59" t="s">
        <v>238</v>
      </c>
      <c r="AC59" t="s">
        <v>238</v>
      </c>
      <c r="AD59" s="2" t="s">
        <v>238</v>
      </c>
      <c r="AE59" s="2" t="s">
        <v>253</v>
      </c>
      <c r="AF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" s="2" t="str">
        <f>SUBSTITUTE(SUBSTITUTE(PROPERTIES[[#This Row],[PURCHASECOST_VALUE]], "PURCHASECOST_", ""), "_VALUE", "")</f>
        <v>ELECTRICRAILBUS</v>
      </c>
      <c r="AI59" s="7" t="str" cm="1">
        <f t="array" ref="AI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" s="43" t="b">
        <v>0</v>
      </c>
      <c r="AK59" s="8" t="b">
        <v>0</v>
      </c>
      <c r="BB59"/>
      <c r="BC59"/>
      <c r="BD59"/>
    </row>
    <row r="60" spans="1:56">
      <c r="A60" s="2" t="s">
        <v>2783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5" t="str">
        <f>_xlfn.XLOOKUP(PROPERTIES[[#This Row],[VEHIDCODE]],CONTROL[VEHIDCODE],CONTROL[ENGLISH])</f>
        <v>Franz Knotz 4855</v>
      </c>
      <c r="F60" t="s">
        <v>579</v>
      </c>
      <c r="G60" s="45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8">
        <v>42</v>
      </c>
      <c r="R60">
        <v>643</v>
      </c>
      <c r="S60">
        <v>120</v>
      </c>
      <c r="T60" s="25">
        <v>0</v>
      </c>
      <c r="U60" s="24">
        <f>IFERROR(PROPERTIES[[#This Row],[TE_STARTING_KN]]/(PROPERTIES[[#This Row],[WEIGHT]]*9.81),0)</f>
        <v>0</v>
      </c>
      <c r="V60" s="24">
        <v>0.21</v>
      </c>
      <c r="W60" s="21">
        <f>ROUND(IF(IFERROR(PROPERTIES[[#This Row],[TE_COEFFICIENT_CALC]],0)=0,PROPERTIES[[#This Row],[TE_COEFFICIENT_MANUAL]],PROPERTIES[[#This Row],[TE_COEFFICIENT_CALC]]),3)</f>
        <v>0.21</v>
      </c>
      <c r="X60" s="9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1">
        <v>0</v>
      </c>
      <c r="Z60" s="7">
        <v>0</v>
      </c>
      <c r="AA60" t="s">
        <v>239</v>
      </c>
      <c r="AB60" t="s">
        <v>238</v>
      </c>
      <c r="AC60" t="s">
        <v>238</v>
      </c>
      <c r="AD60" s="2" t="s">
        <v>238</v>
      </c>
      <c r="AE60" s="2" t="s">
        <v>253</v>
      </c>
      <c r="AF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0" s="2" t="str">
        <f>SUBSTITUTE(SUBSTITUTE(PROPERTIES[[#This Row],[PURCHASECOST_VALUE]], "PURCHASECOST_", ""), "_VALUE", "")</f>
        <v>ELECTRICRAILBUS</v>
      </c>
      <c r="AI60" s="7" t="str" cm="1">
        <f t="array" ref="AI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0" s="43" t="b">
        <v>0</v>
      </c>
      <c r="AK60" s="8" t="b">
        <v>0</v>
      </c>
      <c r="BB60"/>
      <c r="BC60"/>
      <c r="BD60"/>
    </row>
    <row r="61" spans="1:56">
      <c r="A61" s="2" t="s">
        <v>2784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5" t="str">
        <f>_xlfn.XLOOKUP(PROPERTIES[[#This Row],[VEHIDCODE]],CONTROL[VEHIDCODE],CONTROL[ENGLISH])</f>
        <v>Lindner/Talbot ET 10.109</v>
      </c>
      <c r="F61" t="s">
        <v>579</v>
      </c>
      <c r="G61" s="45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8">
        <v>52</v>
      </c>
      <c r="R61">
        <v>1475</v>
      </c>
      <c r="S61">
        <v>90</v>
      </c>
      <c r="T61" s="25">
        <v>0</v>
      </c>
      <c r="U61" s="24">
        <f>IFERROR(PROPERTIES[[#This Row],[TE_STARTING_KN]]/(PROPERTIES[[#This Row],[WEIGHT]]*9.81),0)</f>
        <v>0</v>
      </c>
      <c r="V61" s="24">
        <v>0.28999999999999998</v>
      </c>
      <c r="W61" s="21">
        <f>ROUND(IF(IFERROR(PROPERTIES[[#This Row],[TE_COEFFICIENT_CALC]],0)=0,PROPERTIES[[#This Row],[TE_COEFFICIENT_MANUAL]],PROPERTIES[[#This Row],[TE_COEFFICIENT_CALC]]),3)</f>
        <v>0.28999999999999998</v>
      </c>
      <c r="X61" s="9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1">
        <v>0</v>
      </c>
      <c r="Z61" s="7">
        <v>0</v>
      </c>
      <c r="AA61" t="s">
        <v>239</v>
      </c>
      <c r="AB61" t="s">
        <v>238</v>
      </c>
      <c r="AC61" t="s">
        <v>238</v>
      </c>
      <c r="AD61" s="2" t="s">
        <v>238</v>
      </c>
      <c r="AE61" s="2" t="s">
        <v>253</v>
      </c>
      <c r="AF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1" s="2" t="str">
        <f>SUBSTITUTE(SUBSTITUTE(PROPERTIES[[#This Row],[PURCHASECOST_VALUE]], "PURCHASECOST_", ""), "_VALUE", "")</f>
        <v>ELECTRICRAILBUS</v>
      </c>
      <c r="AI61" s="7" t="str" cm="1">
        <f t="array" ref="AI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1" s="43" t="b">
        <v>0</v>
      </c>
      <c r="AK61" s="8" t="b">
        <v>0</v>
      </c>
      <c r="BB61"/>
      <c r="BC61"/>
      <c r="BD61"/>
    </row>
    <row r="62" spans="1:56">
      <c r="A62" s="2" t="s">
        <v>2785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5" t="str">
        <f>_xlfn.XLOOKUP(PROPERTIES[[#This Row],[VEHIDCODE]],CONTROL[VEHIDCODE],CONTROL[ENGLISH])</f>
        <v>Waggonfabrik Fuchs ET 85</v>
      </c>
      <c r="F62" t="s">
        <v>623</v>
      </c>
      <c r="G62" s="45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8">
        <v>61</v>
      </c>
      <c r="R62">
        <v>740</v>
      </c>
      <c r="S62">
        <v>75</v>
      </c>
      <c r="T62" s="25">
        <v>0</v>
      </c>
      <c r="U62" s="24">
        <f>IFERROR(PROPERTIES[[#This Row],[TE_STARTING_KN]]/(PROPERTIES[[#This Row],[WEIGHT]]*9.81),0)</f>
        <v>0</v>
      </c>
      <c r="V62" s="24">
        <v>0.16</v>
      </c>
      <c r="W62" s="21">
        <f>ROUND(IF(IFERROR(PROPERTIES[[#This Row],[TE_COEFFICIENT_CALC]],0)=0,PROPERTIES[[#This Row],[TE_COEFFICIENT_MANUAL]],PROPERTIES[[#This Row],[TE_COEFFICIENT_CALC]]),3)</f>
        <v>0.16</v>
      </c>
      <c r="X62" s="9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1">
        <v>0</v>
      </c>
      <c r="Z62" s="7">
        <v>0</v>
      </c>
      <c r="AA62" t="s">
        <v>239</v>
      </c>
      <c r="AB62" t="s">
        <v>238</v>
      </c>
      <c r="AC62" t="s">
        <v>238</v>
      </c>
      <c r="AD62" s="2" t="s">
        <v>238</v>
      </c>
      <c r="AE62" s="2" t="s">
        <v>253</v>
      </c>
      <c r="AF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2" s="2" t="str">
        <f>SUBSTITUTE(SUBSTITUTE(PROPERTIES[[#This Row],[PURCHASECOST_VALUE]], "PURCHASECOST_", ""), "_VALUE", "")</f>
        <v>ELECTRICRAILBUS</v>
      </c>
      <c r="AI62" s="7" t="str" cm="1">
        <f t="array" ref="AI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" s="43" t="b">
        <v>0</v>
      </c>
      <c r="AK62" s="8" t="b">
        <v>0</v>
      </c>
      <c r="BB62"/>
      <c r="BC62"/>
      <c r="BD62"/>
    </row>
    <row r="63" spans="1:56">
      <c r="A63" s="2" t="s">
        <v>2786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5" t="str">
        <f>_xlfn.XLOOKUP(PROPERTIES[[#This Row],[VEHIDCODE]],CONTROL[VEHIDCODE],CONTROL[ENGLISH])</f>
        <v>ASJ Y6</v>
      </c>
      <c r="F63" t="s">
        <v>761</v>
      </c>
      <c r="G63" s="45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8">
        <v>21</v>
      </c>
      <c r="R63">
        <v>230</v>
      </c>
      <c r="S63">
        <v>110</v>
      </c>
      <c r="T63" s="25">
        <v>15</v>
      </c>
      <c r="U63" s="24">
        <f>IFERROR(PROPERTIES[[#This Row],[TE_STARTING_KN]]/(PROPERTIES[[#This Row],[WEIGHT]]*9.81),0)</f>
        <v>7.2811999417503992E-2</v>
      </c>
      <c r="V63" s="24">
        <v>0</v>
      </c>
      <c r="W63" s="21">
        <f>ROUND(IF(IFERROR(PROPERTIES[[#This Row],[TE_COEFFICIENT_CALC]],0)=0,PROPERTIES[[#This Row],[TE_COEFFICIENT_MANUAL]],PROPERTIES[[#This Row],[TE_COEFFICIENT_CALC]]),3)</f>
        <v>7.2999999999999995E-2</v>
      </c>
      <c r="X63" s="9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1">
        <v>0</v>
      </c>
      <c r="Z63" s="7">
        <v>0</v>
      </c>
      <c r="AA63" t="s">
        <v>243</v>
      </c>
      <c r="AB63" t="s">
        <v>238</v>
      </c>
      <c r="AC63" t="s">
        <v>238</v>
      </c>
      <c r="AD63" s="2" t="s">
        <v>238</v>
      </c>
      <c r="AE63" s="2" t="s">
        <v>253</v>
      </c>
      <c r="AF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3" s="2" t="str">
        <f>SUBSTITUTE(SUBSTITUTE(PROPERTIES[[#This Row],[PURCHASECOST_VALUE]], "PURCHASECOST_", ""), "_VALUE", "")</f>
        <v>ELECTRICRAILBUS</v>
      </c>
      <c r="AI63" s="7" t="str" cm="1">
        <f t="array" ref="AI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3" s="43" t="b">
        <v>0</v>
      </c>
      <c r="AK63" s="8" t="b">
        <v>0</v>
      </c>
      <c r="BB63"/>
      <c r="BC63"/>
      <c r="BD63"/>
    </row>
    <row r="64" spans="1:56">
      <c r="A64" s="2" t="s">
        <v>2787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5" t="str">
        <f>_xlfn.XLOOKUP(PROPERTIES[[#This Row],[VEHIDCODE]],CONTROL[VEHIDCODE],CONTROL[ENGLISH])</f>
        <v>Budd Silverliner II</v>
      </c>
      <c r="F64" t="s">
        <v>796</v>
      </c>
      <c r="G64" s="45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8">
        <v>46</v>
      </c>
      <c r="R64">
        <v>550</v>
      </c>
      <c r="S64">
        <v>137</v>
      </c>
      <c r="T64" s="25">
        <v>0</v>
      </c>
      <c r="U64" s="24">
        <f>IFERROR(PROPERTIES[[#This Row],[TE_STARTING_KN]]/(PROPERTIES[[#This Row],[WEIGHT]]*9.81),0)</f>
        <v>0</v>
      </c>
      <c r="V64" s="24">
        <v>0.18</v>
      </c>
      <c r="W64" s="21">
        <f>ROUND(IF(IFERROR(PROPERTIES[[#This Row],[TE_COEFFICIENT_CALC]],0)=0,PROPERTIES[[#This Row],[TE_COEFFICIENT_MANUAL]],PROPERTIES[[#This Row],[TE_COEFFICIENT_CALC]]),3)</f>
        <v>0.18</v>
      </c>
      <c r="X64" s="9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1">
        <v>0</v>
      </c>
      <c r="Z64" s="7">
        <v>0</v>
      </c>
      <c r="AA64" t="s">
        <v>244</v>
      </c>
      <c r="AB64" t="s">
        <v>238</v>
      </c>
      <c r="AC64" t="s">
        <v>238</v>
      </c>
      <c r="AD64" s="2" t="s">
        <v>238</v>
      </c>
      <c r="AE64" s="2" t="s">
        <v>253</v>
      </c>
      <c r="AF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4" s="2" t="str">
        <f>SUBSTITUTE(SUBSTITUTE(PROPERTIES[[#This Row],[PURCHASECOST_VALUE]], "PURCHASECOST_", ""), "_VALUE", "")</f>
        <v>ELECTRICRAILBUS</v>
      </c>
      <c r="AI64" s="7" t="str" cm="1">
        <f t="array" ref="AI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" s="43" t="b">
        <v>0</v>
      </c>
      <c r="AK64" s="8" t="b">
        <v>0</v>
      </c>
      <c r="BB64"/>
      <c r="BC64"/>
      <c r="BD64"/>
    </row>
    <row r="65" spans="1:56">
      <c r="A65" s="2" t="s">
        <v>2788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5" t="str">
        <f>_xlfn.XLOOKUP(PROPERTIES[[#This Row],[VEHIDCODE]],CONTROL[VEHIDCODE],CONTROL[ENGLISH])</f>
        <v>Hyundai Rotem Silverliner V</v>
      </c>
      <c r="F65" t="s">
        <v>796</v>
      </c>
      <c r="G65" s="45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8">
        <v>66</v>
      </c>
      <c r="R65">
        <v>680</v>
      </c>
      <c r="S65">
        <v>180</v>
      </c>
      <c r="T65" s="25">
        <v>0</v>
      </c>
      <c r="U65" s="24">
        <f>IFERROR(PROPERTIES[[#This Row],[TE_STARTING_KN]]/(PROPERTIES[[#This Row],[WEIGHT]]*9.81),0)</f>
        <v>0</v>
      </c>
      <c r="V65" s="24">
        <v>0.17</v>
      </c>
      <c r="W65" s="21">
        <f>ROUND(IF(IFERROR(PROPERTIES[[#This Row],[TE_COEFFICIENT_CALC]],0)=0,PROPERTIES[[#This Row],[TE_COEFFICIENT_MANUAL]],PROPERTIES[[#This Row],[TE_COEFFICIENT_CALC]]),3)</f>
        <v>0.17</v>
      </c>
      <c r="X65" s="9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1">
        <v>0</v>
      </c>
      <c r="Z65" s="7">
        <v>0</v>
      </c>
      <c r="AA65" t="s">
        <v>244</v>
      </c>
      <c r="AB65" t="s">
        <v>238</v>
      </c>
      <c r="AC65" t="s">
        <v>238</v>
      </c>
      <c r="AD65" s="2" t="s">
        <v>238</v>
      </c>
      <c r="AE65" s="2" t="s">
        <v>253</v>
      </c>
      <c r="AF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5" s="2" t="str">
        <f>SUBSTITUTE(SUBSTITUTE(PROPERTIES[[#This Row],[PURCHASECOST_VALUE]], "PURCHASECOST_", ""), "_VALUE", "")</f>
        <v>ELECTRICRAILBUS</v>
      </c>
      <c r="AI65" s="7" t="str" cm="1">
        <f t="array" ref="AI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5" s="43" t="b">
        <v>0</v>
      </c>
      <c r="AK65" s="8" t="b">
        <v>0</v>
      </c>
      <c r="BB65"/>
      <c r="BC65"/>
      <c r="BD65"/>
    </row>
    <row r="66" spans="1:56">
      <c r="A66" s="2" t="s">
        <v>2789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5" t="str">
        <f>_xlfn.XLOOKUP(PROPERTIES[[#This Row],[VEHIDCODE]],CONTROL[VEHIDCODE],CONTROL[ENGLISH])</f>
        <v>John Cockerill &amp; Cie. Le Belge</v>
      </c>
      <c r="F66" t="s">
        <v>587</v>
      </c>
      <c r="G66" s="45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8">
        <v>60</v>
      </c>
      <c r="R66">
        <v>50</v>
      </c>
      <c r="S66">
        <v>35</v>
      </c>
      <c r="T66" s="25">
        <v>12.65</v>
      </c>
      <c r="U66" s="24">
        <f>IFERROR(PROPERTIES[[#This Row],[TE_STARTING_KN]]/(PROPERTIES[[#This Row],[WEIGHT]]*9.81),0)</f>
        <v>2.1491675161399933E-2</v>
      </c>
      <c r="V66" s="24">
        <v>0</v>
      </c>
      <c r="W66" s="21">
        <f>ROUND(IF(IFERROR(PROPERTIES[[#This Row],[TE_COEFFICIENT_CALC]],0)=0,PROPERTIES[[#This Row],[TE_COEFFICIENT_MANUAL]],PROPERTIES[[#This Row],[TE_COEFFICIENT_CALC]]),3)</f>
        <v>2.1000000000000001E-2</v>
      </c>
      <c r="X66" s="9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1">
        <v>0</v>
      </c>
      <c r="Z66" s="7">
        <v>0</v>
      </c>
      <c r="AA66" t="s">
        <v>239</v>
      </c>
      <c r="AB66" t="s">
        <v>238</v>
      </c>
      <c r="AC66" t="s">
        <v>238</v>
      </c>
      <c r="AD66" s="2" t="s">
        <v>238</v>
      </c>
      <c r="AE66" s="2" t="s">
        <v>253</v>
      </c>
      <c r="AF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6" s="2" t="str">
        <f>SUBSTITUTE(SUBSTITUTE(PROPERTIES[[#This Row],[PURCHASECOST_VALUE]], "PURCHASECOST_", ""), "_VALUE", "")</f>
        <v>STEAMENGINE</v>
      </c>
      <c r="AI66" s="7" t="str" cm="1">
        <f t="array" ref="AI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6" s="43" t="b">
        <v>0</v>
      </c>
      <c r="AK66" s="8" t="b">
        <v>0</v>
      </c>
      <c r="BB66"/>
      <c r="BC66"/>
      <c r="BD66"/>
    </row>
    <row r="67" spans="1:56">
      <c r="A67" s="2" t="s">
        <v>2790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5" t="str">
        <f>_xlfn.XLOOKUP(PROPERTIES[[#This Row],[VEHIDCODE]],CONTROL[VEHIDCODE],CONTROL[ENGLISH])</f>
        <v>Breese, Kneeland &amp; Co 4-4-0 'No 1'</v>
      </c>
      <c r="F67" t="s">
        <v>796</v>
      </c>
      <c r="G67" s="45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8">
        <v>23</v>
      </c>
      <c r="R67">
        <v>250</v>
      </c>
      <c r="S67">
        <v>96</v>
      </c>
      <c r="T67" s="25">
        <v>32.1</v>
      </c>
      <c r="U67" s="24">
        <f>IFERROR(PROPERTIES[[#This Row],[TE_STARTING_KN]]/(PROPERTIES[[#This Row],[WEIGHT]]*9.81),0)</f>
        <v>0.14226831538359261</v>
      </c>
      <c r="V67" s="24">
        <v>0</v>
      </c>
      <c r="W67" s="21">
        <f>ROUND(IF(IFERROR(PROPERTIES[[#This Row],[TE_COEFFICIENT_CALC]],0)=0,PROPERTIES[[#This Row],[TE_COEFFICIENT_MANUAL]],PROPERTIES[[#This Row],[TE_COEFFICIENT_CALC]]),3)</f>
        <v>0.14199999999999999</v>
      </c>
      <c r="X67" s="9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1">
        <v>0</v>
      </c>
      <c r="Z67" s="7">
        <v>4</v>
      </c>
      <c r="AA67" t="s">
        <v>244</v>
      </c>
      <c r="AB67" t="s">
        <v>238</v>
      </c>
      <c r="AC67" t="s">
        <v>238</v>
      </c>
      <c r="AD67" s="2" t="s">
        <v>238</v>
      </c>
      <c r="AE67" s="2" t="s">
        <v>253</v>
      </c>
      <c r="AF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7" s="2" t="str">
        <f>SUBSTITUTE(SUBSTITUTE(PROPERTIES[[#This Row],[PURCHASECOST_VALUE]], "PURCHASECOST_", ""), "_VALUE", "")</f>
        <v>STEAMENGINE</v>
      </c>
      <c r="AI67" s="7" t="str" cm="1">
        <f t="array" ref="AI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7" s="43" t="b">
        <v>0</v>
      </c>
      <c r="AK67" s="8" t="b">
        <v>0</v>
      </c>
      <c r="BB67"/>
      <c r="BC67"/>
      <c r="BD67"/>
    </row>
    <row r="68" spans="1:56">
      <c r="A68" s="2" t="s">
        <v>2791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5" t="str">
        <f>_xlfn.XLOOKUP(PROPERTIES[[#This Row],[VEHIDCODE]],CONTROL[VEHIDCODE],CONTROL[ENGLISH])</f>
        <v>Esslingen Ec 2/5</v>
      </c>
      <c r="F68" t="s">
        <v>609</v>
      </c>
      <c r="G68" s="45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8">
        <v>45</v>
      </c>
      <c r="R68">
        <v>400</v>
      </c>
      <c r="S68">
        <v>60</v>
      </c>
      <c r="T68" s="25">
        <v>0</v>
      </c>
      <c r="U68" s="24">
        <f>IFERROR(PROPERTIES[[#This Row],[TE_STARTING_KN]]/(PROPERTIES[[#This Row],[WEIGHT]]*9.81),0)</f>
        <v>0</v>
      </c>
      <c r="V68" s="24">
        <v>0.2</v>
      </c>
      <c r="W68" s="21">
        <f>ROUND(IF(IFERROR(PROPERTIES[[#This Row],[TE_COEFFICIENT_CALC]],0)=0,PROPERTIES[[#This Row],[TE_COEFFICIENT_MANUAL]],PROPERTIES[[#This Row],[TE_COEFFICIENT_CALC]]),3)</f>
        <v>0.2</v>
      </c>
      <c r="X68" s="9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1">
        <v>0</v>
      </c>
      <c r="Z68" s="7">
        <v>0</v>
      </c>
      <c r="AA68" t="s">
        <v>239</v>
      </c>
      <c r="AB68" t="s">
        <v>238</v>
      </c>
      <c r="AC68" t="s">
        <v>238</v>
      </c>
      <c r="AD68" s="2" t="s">
        <v>238</v>
      </c>
      <c r="AE68" s="2" t="s">
        <v>253</v>
      </c>
      <c r="AF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8" s="2" t="str">
        <f>SUBSTITUTE(SUBSTITUTE(PROPERTIES[[#This Row],[PURCHASECOST_VALUE]], "PURCHASECOST_", ""), "_VALUE", "")</f>
        <v>STEAMENGINE</v>
      </c>
      <c r="AI68" s="7" t="str" cm="1">
        <f t="array" ref="AI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8" s="43" t="b">
        <v>0</v>
      </c>
      <c r="AK68" s="8" t="b">
        <v>0</v>
      </c>
      <c r="BB68"/>
      <c r="BC68"/>
      <c r="BD68"/>
    </row>
    <row r="69" spans="1:56">
      <c r="A69" s="2" t="s">
        <v>2792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5" t="str">
        <f>_xlfn.XLOOKUP(PROPERTIES[[#This Row],[VEHIDCODE]],CONTROL[VEHIDCODE],CONTROL[ENGLISH])</f>
        <v>Baldwin Class D 4-6-0 'Ten-wheeler'</v>
      </c>
      <c r="F69" t="s">
        <v>796</v>
      </c>
      <c r="G69" s="45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8">
        <v>57</v>
      </c>
      <c r="R69">
        <v>375</v>
      </c>
      <c r="S69">
        <v>95</v>
      </c>
      <c r="T69" s="25">
        <f>13524*0.00445</f>
        <v>60.181800000000003</v>
      </c>
      <c r="U69" s="24">
        <f>IFERROR(PROPERTIES[[#This Row],[TE_STARTING_KN]]/(PROPERTIES[[#This Row],[WEIGHT]]*9.81),0)</f>
        <v>0.10762701861687858</v>
      </c>
      <c r="V69" s="24">
        <v>0</v>
      </c>
      <c r="W69" s="21">
        <f>ROUND(IF(IFERROR(PROPERTIES[[#This Row],[TE_COEFFICIENT_CALC]],0)=0,PROPERTIES[[#This Row],[TE_COEFFICIENT_MANUAL]],PROPERTIES[[#This Row],[TE_COEFFICIENT_CALC]]),3)</f>
        <v>0.108</v>
      </c>
      <c r="X69" s="9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1">
        <v>0</v>
      </c>
      <c r="Z69" s="7">
        <v>4</v>
      </c>
      <c r="AA69" t="s">
        <v>244</v>
      </c>
      <c r="AB69" t="s">
        <v>238</v>
      </c>
      <c r="AC69" t="s">
        <v>238</v>
      </c>
      <c r="AD69" s="2" t="s">
        <v>238</v>
      </c>
      <c r="AE69" s="2" t="s">
        <v>253</v>
      </c>
      <c r="AF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9" s="2" t="str">
        <f>SUBSTITUTE(SUBSTITUTE(PROPERTIES[[#This Row],[PURCHASECOST_VALUE]], "PURCHASECOST_", ""), "_VALUE", "")</f>
        <v>STEAMENGINE</v>
      </c>
      <c r="AI69" s="7" t="str" cm="1">
        <f t="array" ref="AI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9" s="43" t="b">
        <v>0</v>
      </c>
      <c r="AK69" s="8" t="b">
        <v>0</v>
      </c>
      <c r="BB69"/>
      <c r="BC69"/>
      <c r="BD69"/>
    </row>
    <row r="70" spans="1:56">
      <c r="A70" s="2" t="s">
        <v>2793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5" t="str">
        <f>_xlfn.XLOOKUP(PROPERTIES[[#This Row],[VEHIDCODE]],CONTROL[VEHIDCODE],CONTROL[ENGLISH])</f>
        <v>Baldwin 2-8-0 'Consolidation'</v>
      </c>
      <c r="F70" t="s">
        <v>796</v>
      </c>
      <c r="G70" s="45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8">
        <v>71</v>
      </c>
      <c r="R70">
        <v>475</v>
      </c>
      <c r="S70">
        <v>55</v>
      </c>
      <c r="T70" s="25">
        <f>20400*0.00445</f>
        <v>90.78</v>
      </c>
      <c r="U70" s="24">
        <f>IFERROR(PROPERTIES[[#This Row],[TE_STARTING_KN]]/(PROPERTIES[[#This Row],[WEIGHT]]*9.81),0)</f>
        <v>0.13033552999956929</v>
      </c>
      <c r="V70" s="24">
        <v>0</v>
      </c>
      <c r="W70" s="21">
        <f>ROUND(IF(IFERROR(PROPERTIES[[#This Row],[TE_COEFFICIENT_CALC]],0)=0,PROPERTIES[[#This Row],[TE_COEFFICIENT_MANUAL]],PROPERTIES[[#This Row],[TE_COEFFICIENT_CALC]]),3)</f>
        <v>0.13</v>
      </c>
      <c r="X70" s="9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1">
        <v>0</v>
      </c>
      <c r="Z70" s="7">
        <v>5</v>
      </c>
      <c r="AA70" t="s">
        <v>244</v>
      </c>
      <c r="AB70" t="s">
        <v>238</v>
      </c>
      <c r="AC70" t="s">
        <v>238</v>
      </c>
      <c r="AD70" s="2" t="s">
        <v>238</v>
      </c>
      <c r="AE70" s="2" t="s">
        <v>253</v>
      </c>
      <c r="AF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0" s="2" t="str">
        <f>SUBSTITUTE(SUBSTITUTE(PROPERTIES[[#This Row],[PURCHASECOST_VALUE]], "PURCHASECOST_", ""), "_VALUE", "")</f>
        <v>STEAMENGINE</v>
      </c>
      <c r="AI70" s="7" t="str" cm="1">
        <f t="array" ref="AI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0" s="43" t="b">
        <v>0</v>
      </c>
      <c r="AK70" s="8" t="b">
        <v>0</v>
      </c>
      <c r="BB70"/>
      <c r="BC70"/>
      <c r="BD70"/>
    </row>
    <row r="71" spans="1:56">
      <c r="A71" s="2" t="s">
        <v>2794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5" t="str">
        <f>_xlfn.XLOOKUP(PROPERTIES[[#This Row],[VEHIDCODE]],CONTROL[VEHIDCODE],CONTROL[ENGLISH])</f>
        <v>MAV 377</v>
      </c>
      <c r="F71" t="s">
        <v>665</v>
      </c>
      <c r="G71" s="45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8">
        <v>27</v>
      </c>
      <c r="R71">
        <v>170</v>
      </c>
      <c r="S71">
        <v>45</v>
      </c>
      <c r="T71" s="25">
        <v>31.2</v>
      </c>
      <c r="U71" s="24">
        <f>IFERROR(PROPERTIES[[#This Row],[TE_STARTING_KN]]/(PROPERTIES[[#This Row],[WEIGHT]]*9.81),0)</f>
        <v>0.11779363461320648</v>
      </c>
      <c r="V71" s="24">
        <v>0</v>
      </c>
      <c r="W71" s="21">
        <f>ROUND(IF(IFERROR(PROPERTIES[[#This Row],[TE_COEFFICIENT_CALC]],0)=0,PROPERTIES[[#This Row],[TE_COEFFICIENT_MANUAL]],PROPERTIES[[#This Row],[TE_COEFFICIENT_CALC]]),3)</f>
        <v>0.11799999999999999</v>
      </c>
      <c r="X71" s="9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1">
        <v>0</v>
      </c>
      <c r="Z71" s="7">
        <v>0</v>
      </c>
      <c r="AA71" t="s">
        <v>245</v>
      </c>
      <c r="AB71" t="s">
        <v>238</v>
      </c>
      <c r="AC71" t="s">
        <v>238</v>
      </c>
      <c r="AD71" s="2" t="s">
        <v>238</v>
      </c>
      <c r="AE71" s="2" t="s">
        <v>253</v>
      </c>
      <c r="AF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1" s="2" t="str">
        <f>SUBSTITUTE(SUBSTITUTE(PROPERTIES[[#This Row],[PURCHASECOST_VALUE]], "PURCHASECOST_", ""), "_VALUE", "")</f>
        <v>STEAMENGINE</v>
      </c>
      <c r="AI71" s="7" t="str" cm="1">
        <f t="array" ref="AI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1" s="43" t="b">
        <v>0</v>
      </c>
      <c r="AK71" s="8" t="b">
        <v>0</v>
      </c>
      <c r="BB71"/>
      <c r="BC71"/>
      <c r="BD71"/>
    </row>
    <row r="72" spans="1:56">
      <c r="A72" s="2" t="s">
        <v>2795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5" t="str">
        <f>_xlfn.XLOOKUP(PROPERTIES[[#This Row],[VEHIDCODE]],CONTROL[VEHIDCODE],CONTROL[ENGLISH])</f>
        <v>Krauss KkStB 99</v>
      </c>
      <c r="F72" t="s">
        <v>579</v>
      </c>
      <c r="G72" s="45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8">
        <v>39</v>
      </c>
      <c r="R72">
        <v>320</v>
      </c>
      <c r="S72">
        <v>50</v>
      </c>
      <c r="T72" s="25">
        <v>0</v>
      </c>
      <c r="U72" s="24">
        <f>IFERROR(PROPERTIES[[#This Row],[TE_STARTING_KN]]/(PROPERTIES[[#This Row],[WEIGHT]]*9.81),0)</f>
        <v>0</v>
      </c>
      <c r="V72" s="24">
        <v>0.23</v>
      </c>
      <c r="W72" s="21">
        <f>ROUND(IF(IFERROR(PROPERTIES[[#This Row],[TE_COEFFICIENT_CALC]],0)=0,PROPERTIES[[#This Row],[TE_COEFFICIENT_MANUAL]],PROPERTIES[[#This Row],[TE_COEFFICIENT_CALC]]),3)</f>
        <v>0.23</v>
      </c>
      <c r="X72" s="9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1">
        <v>0</v>
      </c>
      <c r="Z72" s="7">
        <v>0</v>
      </c>
      <c r="AA72" t="s">
        <v>239</v>
      </c>
      <c r="AB72" t="s">
        <v>238</v>
      </c>
      <c r="AC72" t="s">
        <v>238</v>
      </c>
      <c r="AD72" s="2" t="s">
        <v>238</v>
      </c>
      <c r="AE72" s="2" t="s">
        <v>253</v>
      </c>
      <c r="AF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2" s="2" t="str">
        <f>SUBSTITUTE(SUBSTITUTE(PROPERTIES[[#This Row],[PURCHASECOST_VALUE]], "PURCHASECOST_", ""), "_VALUE", "")</f>
        <v>STEAMENGINE</v>
      </c>
      <c r="AI72" s="7" t="str" cm="1">
        <f t="array" ref="AI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2" s="43" t="b">
        <v>0</v>
      </c>
      <c r="AK72" s="8" t="b">
        <v>0</v>
      </c>
      <c r="BB72"/>
      <c r="BC72"/>
      <c r="BD72"/>
    </row>
    <row r="73" spans="1:56">
      <c r="A73" s="2" t="s">
        <v>2796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5" t="str">
        <f>_xlfn.XLOOKUP(PROPERTIES[[#This Row],[VEHIDCODE]],CONTROL[VEHIDCODE],CONTROL[ENGLISH])</f>
        <v>McIntosh [Caledonian Railway] 439</v>
      </c>
      <c r="F73" t="s">
        <v>642</v>
      </c>
      <c r="G73" s="45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8">
        <v>53</v>
      </c>
      <c r="R73">
        <v>540</v>
      </c>
      <c r="S73">
        <v>80</v>
      </c>
      <c r="T73" s="25">
        <v>83.1</v>
      </c>
      <c r="U73" s="24">
        <f>IFERROR(PROPERTIES[[#This Row],[TE_STARTING_KN]]/(PROPERTIES[[#This Row],[WEIGHT]]*9.81),0)</f>
        <v>0.15982920777797008</v>
      </c>
      <c r="V73" s="24">
        <v>0</v>
      </c>
      <c r="W73" s="21">
        <f>ROUND(IF(IFERROR(PROPERTIES[[#This Row],[TE_COEFFICIENT_CALC]],0)=0,PROPERTIES[[#This Row],[TE_COEFFICIENT_MANUAL]],PROPERTIES[[#This Row],[TE_COEFFICIENT_CALC]]),3)</f>
        <v>0.16</v>
      </c>
      <c r="X73" s="9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1">
        <v>0</v>
      </c>
      <c r="Z73" s="7">
        <v>0</v>
      </c>
      <c r="AA73" t="s">
        <v>243</v>
      </c>
      <c r="AB73" t="s">
        <v>238</v>
      </c>
      <c r="AC73" t="s">
        <v>238</v>
      </c>
      <c r="AD73" s="2" t="s">
        <v>238</v>
      </c>
      <c r="AE73" s="2" t="s">
        <v>253</v>
      </c>
      <c r="AF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3" s="2" t="str">
        <f>SUBSTITUTE(SUBSTITUTE(PROPERTIES[[#This Row],[PURCHASECOST_VALUE]], "PURCHASECOST_", ""), "_VALUE", "")</f>
        <v>STEAMENGINE</v>
      </c>
      <c r="AI73" s="7" t="str" cm="1">
        <f t="array" ref="AI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3" s="43" t="b">
        <v>0</v>
      </c>
      <c r="AK73" s="8" t="b">
        <v>0</v>
      </c>
      <c r="BB73"/>
      <c r="BC73"/>
      <c r="BD73"/>
    </row>
    <row r="74" spans="1:56">
      <c r="A74" s="2" t="s">
        <v>2797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5" t="str">
        <f>_xlfn.XLOOKUP(PROPERTIES[[#This Row],[VEHIDCODE]],CONTROL[VEHIDCODE],CONTROL[ENGLISH])</f>
        <v>SLM Winterthur A 3/5</v>
      </c>
      <c r="F74" t="s">
        <v>609</v>
      </c>
      <c r="G74" s="45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8">
        <v>106</v>
      </c>
      <c r="R74">
        <v>1340</v>
      </c>
      <c r="S74">
        <v>100</v>
      </c>
      <c r="T74" s="25">
        <v>0</v>
      </c>
      <c r="U74" s="24">
        <f>IFERROR(PROPERTIES[[#This Row],[TE_STARTING_KN]]/(PROPERTIES[[#This Row],[WEIGHT]]*9.81),0)</f>
        <v>0</v>
      </c>
      <c r="V74" s="24">
        <v>0.16</v>
      </c>
      <c r="W74" s="21">
        <f>ROUND(IF(IFERROR(PROPERTIES[[#This Row],[TE_COEFFICIENT_CALC]],0)=0,PROPERTIES[[#This Row],[TE_COEFFICIENT_MANUAL]],PROPERTIES[[#This Row],[TE_COEFFICIENT_CALC]]),3)</f>
        <v>0.16</v>
      </c>
      <c r="X74" s="9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1">
        <v>0</v>
      </c>
      <c r="Z74" s="7">
        <v>4</v>
      </c>
      <c r="AA74" t="s">
        <v>239</v>
      </c>
      <c r="AB74" t="s">
        <v>238</v>
      </c>
      <c r="AC74" t="s">
        <v>238</v>
      </c>
      <c r="AD74" s="2" t="s">
        <v>238</v>
      </c>
      <c r="AE74" s="2" t="s">
        <v>253</v>
      </c>
      <c r="AF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4" s="2" t="str">
        <f>SUBSTITUTE(SUBSTITUTE(PROPERTIES[[#This Row],[PURCHASECOST_VALUE]], "PURCHASECOST_", ""), "_VALUE", "")</f>
        <v>STEAMENGINE</v>
      </c>
      <c r="AI74" s="7" t="str" cm="1">
        <f t="array" ref="AI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4" s="43" t="b">
        <v>0</v>
      </c>
      <c r="AK74" s="8" t="b">
        <v>0</v>
      </c>
      <c r="BB74"/>
      <c r="BC74"/>
      <c r="BD74"/>
    </row>
    <row r="75" spans="1:56">
      <c r="A75" s="2" t="s">
        <v>2798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5" t="str">
        <f>_xlfn.XLOOKUP(PROPERTIES[[#This Row],[VEHIDCODE]],CONTROL[VEHIDCODE],CONTROL[ENGLISH])</f>
        <v>SLM Winterthur E 3/3</v>
      </c>
      <c r="F75" t="s">
        <v>609</v>
      </c>
      <c r="G75" s="45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8">
        <v>35</v>
      </c>
      <c r="R75">
        <v>493</v>
      </c>
      <c r="S75">
        <v>45</v>
      </c>
      <c r="T75" s="25">
        <v>0</v>
      </c>
      <c r="U75" s="24">
        <f>IFERROR(PROPERTIES[[#This Row],[TE_STARTING_KN]]/(PROPERTIES[[#This Row],[WEIGHT]]*9.81),0)</f>
        <v>0</v>
      </c>
      <c r="V75" s="24">
        <v>0.25</v>
      </c>
      <c r="W75" s="21">
        <f>ROUND(IF(IFERROR(PROPERTIES[[#This Row],[TE_COEFFICIENT_CALC]],0)=0,PROPERTIES[[#This Row],[TE_COEFFICIENT_MANUAL]],PROPERTIES[[#This Row],[TE_COEFFICIENT_CALC]]),3)</f>
        <v>0.25</v>
      </c>
      <c r="X75" s="9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1">
        <v>0</v>
      </c>
      <c r="Z75" s="7">
        <v>0</v>
      </c>
      <c r="AA75" t="s">
        <v>239</v>
      </c>
      <c r="AB75" t="s">
        <v>238</v>
      </c>
      <c r="AC75" t="s">
        <v>238</v>
      </c>
      <c r="AD75" s="2" t="s">
        <v>238</v>
      </c>
      <c r="AE75" s="2" t="s">
        <v>253</v>
      </c>
      <c r="AF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5" s="2" t="str">
        <f>SUBSTITUTE(SUBSTITUTE(PROPERTIES[[#This Row],[PURCHASECOST_VALUE]], "PURCHASECOST_", ""), "_VALUE", "")</f>
        <v>STEAMENGINE</v>
      </c>
      <c r="AI75" s="7" t="str" cm="1">
        <f t="array" ref="AI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5" s="43" t="b">
        <v>0</v>
      </c>
      <c r="AK75" s="8" t="b">
        <v>0</v>
      </c>
      <c r="BB75"/>
      <c r="BC75"/>
      <c r="BD75"/>
    </row>
    <row r="76" spans="1:56">
      <c r="A76" s="2" t="s">
        <v>2799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5" t="str">
        <f>_xlfn.XLOOKUP(PROPERTIES[[#This Row],[VEHIDCODE]],CONTROL[VEHIDCODE],CONTROL[ENGLISH])</f>
        <v>Krauss 299</v>
      </c>
      <c r="F76" t="s">
        <v>579</v>
      </c>
      <c r="G76" s="45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8">
        <v>42</v>
      </c>
      <c r="R76">
        <v>480</v>
      </c>
      <c r="S76">
        <v>60</v>
      </c>
      <c r="T76" s="25">
        <v>0</v>
      </c>
      <c r="U76" s="24">
        <f>IFERROR(PROPERTIES[[#This Row],[TE_STARTING_KN]]/(PROPERTIES[[#This Row],[WEIGHT]]*9.81),0)</f>
        <v>0</v>
      </c>
      <c r="V76" s="24">
        <v>0.26</v>
      </c>
      <c r="W76" s="21">
        <f>ROUND(IF(IFERROR(PROPERTIES[[#This Row],[TE_COEFFICIENT_CALC]],0)=0,PROPERTIES[[#This Row],[TE_COEFFICIENT_MANUAL]],PROPERTIES[[#This Row],[TE_COEFFICIENT_CALC]]),3)</f>
        <v>0.26</v>
      </c>
      <c r="X76" s="9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1">
        <v>0</v>
      </c>
      <c r="Z76" s="7">
        <v>0</v>
      </c>
      <c r="AA76" t="s">
        <v>239</v>
      </c>
      <c r="AB76" t="s">
        <v>238</v>
      </c>
      <c r="AC76" t="s">
        <v>238</v>
      </c>
      <c r="AD76" s="2" t="s">
        <v>238</v>
      </c>
      <c r="AE76" s="2" t="s">
        <v>253</v>
      </c>
      <c r="AF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6" s="2" t="str">
        <f>SUBSTITUTE(SUBSTITUTE(PROPERTIES[[#This Row],[PURCHASECOST_VALUE]], "PURCHASECOST_", ""), "_VALUE", "")</f>
        <v>STEAMENGINE</v>
      </c>
      <c r="AI76" s="7" t="str" cm="1">
        <f t="array" ref="AI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6" s="43" t="b">
        <v>0</v>
      </c>
      <c r="AK76" s="8" t="b">
        <v>0</v>
      </c>
      <c r="BB76"/>
      <c r="BC76"/>
      <c r="BD76"/>
    </row>
    <row r="77" spans="1:56">
      <c r="A77" s="2" t="s">
        <v>2800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5" t="str">
        <f>_xlfn.XLOOKUP(PROPERTIES[[#This Row],[VEHIDCODE]],CONTROL[VEHIDCODE],CONTROL[ENGLISH])</f>
        <v>NZR X</v>
      </c>
      <c r="F77" t="s">
        <v>736</v>
      </c>
      <c r="G77" s="45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8">
        <v>94</v>
      </c>
      <c r="R77">
        <v>850</v>
      </c>
      <c r="S77">
        <v>48</v>
      </c>
      <c r="T77" s="25">
        <v>0</v>
      </c>
      <c r="U77" s="24">
        <f>IFERROR(PROPERTIES[[#This Row],[TE_STARTING_KN]]/(PROPERTIES[[#This Row],[WEIGHT]]*9.81),0)</f>
        <v>0</v>
      </c>
      <c r="V77" s="24">
        <v>0.22</v>
      </c>
      <c r="W77" s="21">
        <f>ROUND(IF(IFERROR(PROPERTIES[[#This Row],[TE_COEFFICIENT_CALC]],0)=0,PROPERTIES[[#This Row],[TE_COEFFICIENT_MANUAL]],PROPERTIES[[#This Row],[TE_COEFFICIENT_CALC]]),3)</f>
        <v>0.22</v>
      </c>
      <c r="X77" s="9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1">
        <v>0</v>
      </c>
      <c r="Z77" s="7">
        <v>6</v>
      </c>
      <c r="AA77" t="s">
        <v>241</v>
      </c>
      <c r="AB77" t="s">
        <v>238</v>
      </c>
      <c r="AC77" t="s">
        <v>238</v>
      </c>
      <c r="AD77" s="2" t="s">
        <v>238</v>
      </c>
      <c r="AE77" s="2" t="s">
        <v>253</v>
      </c>
      <c r="AF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7" s="2" t="str">
        <f>SUBSTITUTE(SUBSTITUTE(PROPERTIES[[#This Row],[PURCHASECOST_VALUE]], "PURCHASECOST_", ""), "_VALUE", "")</f>
        <v>STEAMENGINE</v>
      </c>
      <c r="AI77" s="7" t="str" cm="1">
        <f t="array" ref="AI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7" s="43" t="b">
        <v>0</v>
      </c>
      <c r="AK77" s="8" t="b">
        <v>0</v>
      </c>
      <c r="BB77"/>
      <c r="BC77"/>
      <c r="BD77"/>
    </row>
    <row r="78" spans="1:56">
      <c r="A78" s="2" t="s">
        <v>3532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5" t="str">
        <f>_xlfn.XLOOKUP(PROPERTIES[[#This Row],[VEHIDCODE]],CONTROL[VEHIDCODE],CONTROL[ENGLISH])</f>
        <v>MAVAG 375</v>
      </c>
      <c r="F78" t="s">
        <v>663</v>
      </c>
      <c r="G78" s="45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8">
        <v>52</v>
      </c>
      <c r="R78">
        <v>330</v>
      </c>
      <c r="S78">
        <v>60</v>
      </c>
      <c r="T78" s="25">
        <v>0</v>
      </c>
      <c r="U78" s="24">
        <f>IFERROR(PROPERTIES[[#This Row],[TE_STARTING_KN]]/(PROPERTIES[[#This Row],[WEIGHT]]*9.81),0)</f>
        <v>0</v>
      </c>
      <c r="V78" s="24">
        <v>0.19</v>
      </c>
      <c r="W78" s="21">
        <f>ROUND(IF(IFERROR(PROPERTIES[[#This Row],[TE_COEFFICIENT_CALC]],0)=0,PROPERTIES[[#This Row],[TE_COEFFICIENT_MANUAL]],PROPERTIES[[#This Row],[TE_COEFFICIENT_CALC]]),3)</f>
        <v>0.19</v>
      </c>
      <c r="X78" s="9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1">
        <v>0</v>
      </c>
      <c r="Z78" s="7">
        <v>0</v>
      </c>
      <c r="AA78" t="s">
        <v>245</v>
      </c>
      <c r="AB78" t="s">
        <v>238</v>
      </c>
      <c r="AC78" t="s">
        <v>238</v>
      </c>
      <c r="AD78" s="2" t="s">
        <v>238</v>
      </c>
      <c r="AE78" s="2" t="s">
        <v>253</v>
      </c>
      <c r="AF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8" s="2" t="str">
        <f>SUBSTITUTE(SUBSTITUTE(PROPERTIES[[#This Row],[PURCHASECOST_VALUE]], "PURCHASECOST_", ""), "_VALUE", "")</f>
        <v>STEAMENGINE</v>
      </c>
      <c r="AI78" s="7" t="str" cm="1">
        <f t="array" ref="AI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8" s="43" t="b">
        <v>0</v>
      </c>
      <c r="AK78" s="8" t="b">
        <v>0</v>
      </c>
      <c r="BB78"/>
      <c r="BC78"/>
      <c r="BD78"/>
    </row>
    <row r="79" spans="1:56">
      <c r="A79" s="2" t="s">
        <v>2801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5" t="str">
        <f>_xlfn.XLOOKUP(PROPERTIES[[#This Row],[VEHIDCODE]],CONTROL[VEHIDCODE],CONTROL[ENGLISH])</f>
        <v>FS 880</v>
      </c>
      <c r="F79" t="s">
        <v>675</v>
      </c>
      <c r="G79" s="45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8">
        <v>92</v>
      </c>
      <c r="R79">
        <v>540</v>
      </c>
      <c r="S79">
        <v>75</v>
      </c>
      <c r="T79" s="25">
        <v>0</v>
      </c>
      <c r="U79" s="24">
        <f>IFERROR(PROPERTIES[[#This Row],[TE_STARTING_KN]]/(PROPERTIES[[#This Row],[WEIGHT]]*9.81),0)</f>
        <v>0</v>
      </c>
      <c r="V79" s="24">
        <v>0.2</v>
      </c>
      <c r="W79" s="21">
        <f>ROUND(IF(IFERROR(PROPERTIES[[#This Row],[TE_COEFFICIENT_CALC]],0)=0,PROPERTIES[[#This Row],[TE_COEFFICIENT_MANUAL]],PROPERTIES[[#This Row],[TE_COEFFICIENT_CALC]]),3)</f>
        <v>0.2</v>
      </c>
      <c r="X79" s="9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1">
        <v>0</v>
      </c>
      <c r="Z79" s="7">
        <v>0</v>
      </c>
      <c r="AA79" t="s">
        <v>240</v>
      </c>
      <c r="AB79" t="s">
        <v>238</v>
      </c>
      <c r="AC79" t="s">
        <v>238</v>
      </c>
      <c r="AD79" s="2" t="s">
        <v>238</v>
      </c>
      <c r="AE79" s="2" t="s">
        <v>253</v>
      </c>
      <c r="AF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" s="2" t="str">
        <f>SUBSTITUTE(SUBSTITUTE(PROPERTIES[[#This Row],[PURCHASECOST_VALUE]], "PURCHASECOST_", ""), "_VALUE", "")</f>
        <v>STEAMENGINE</v>
      </c>
      <c r="AI79" s="7" t="str" cm="1">
        <f t="array" ref="AI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" s="43" t="b">
        <v>0</v>
      </c>
      <c r="AK79" s="8" t="b">
        <v>0</v>
      </c>
      <c r="BB79"/>
      <c r="BC79"/>
      <c r="BD79"/>
    </row>
    <row r="80" spans="1:56">
      <c r="A80" s="2" t="s">
        <v>2802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5" t="str">
        <f>_xlfn.XLOOKUP(PROPERTIES[[#This Row],[VEHIDCODE]],CONTROL[VEHIDCODE],CONTROL[ENGLISH])</f>
        <v>FCNEA 11B 2-8-0</v>
      </c>
      <c r="F80" t="s">
        <v>577</v>
      </c>
      <c r="G80" s="45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8">
        <v>92</v>
      </c>
      <c r="R80">
        <v>850</v>
      </c>
      <c r="S80">
        <v>64</v>
      </c>
      <c r="T80" s="25">
        <v>0</v>
      </c>
      <c r="U80" s="24">
        <f>IFERROR(PROPERTIES[[#This Row],[TE_STARTING_KN]]/(PROPERTIES[[#This Row],[WEIGHT]]*9.81),0)</f>
        <v>0</v>
      </c>
      <c r="V80" s="24">
        <v>0.22</v>
      </c>
      <c r="W80" s="21">
        <f>ROUND(IF(IFERROR(PROPERTIES[[#This Row],[TE_COEFFICIENT_CALC]],0)=0,PROPERTIES[[#This Row],[TE_COEFFICIENT_MANUAL]],PROPERTIES[[#This Row],[TE_COEFFICIENT_CALC]]),3)</f>
        <v>0.22</v>
      </c>
      <c r="X80" s="9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1">
        <v>0</v>
      </c>
      <c r="Z80" s="7">
        <v>4</v>
      </c>
      <c r="AA80" t="s">
        <v>246</v>
      </c>
      <c r="AB80" t="s">
        <v>238</v>
      </c>
      <c r="AC80" t="s">
        <v>238</v>
      </c>
      <c r="AD80" s="2" t="s">
        <v>238</v>
      </c>
      <c r="AE80" s="2" t="s">
        <v>253</v>
      </c>
      <c r="AF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0" s="2" t="str">
        <f>SUBSTITUTE(SUBSTITUTE(PROPERTIES[[#This Row],[PURCHASECOST_VALUE]], "PURCHASECOST_", ""), "_VALUE", "")</f>
        <v>STEAMENGINE</v>
      </c>
      <c r="AI80" s="7" t="str" cm="1">
        <f t="array" ref="AI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0" s="43" t="b">
        <v>0</v>
      </c>
      <c r="AK80" s="8" t="b">
        <v>0</v>
      </c>
      <c r="BB80"/>
      <c r="BC80"/>
      <c r="BD80"/>
    </row>
    <row r="81" spans="1:56">
      <c r="A81" s="2" t="s">
        <v>2803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5" t="str">
        <f>_xlfn.XLOOKUP(PROPERTIES[[#This Row],[VEHIDCODE]],CONTROL[VEHIDCODE],CONTROL[ENGLISH])</f>
        <v>Schneider et Cie 140C</v>
      </c>
      <c r="F81" t="s">
        <v>641</v>
      </c>
      <c r="G81" s="45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8">
        <v>118</v>
      </c>
      <c r="R81">
        <v>1500</v>
      </c>
      <c r="S81">
        <v>80</v>
      </c>
      <c r="T81" s="25">
        <v>0</v>
      </c>
      <c r="U81" s="24">
        <f>IFERROR(PROPERTIES[[#This Row],[TE_STARTING_KN]]/(PROPERTIES[[#This Row],[WEIGHT]]*9.81),0)</f>
        <v>0</v>
      </c>
      <c r="V81" s="24">
        <v>0.16</v>
      </c>
      <c r="W81" s="21">
        <f>ROUND(IF(IFERROR(PROPERTIES[[#This Row],[TE_COEFFICIENT_CALC]],0)=0,PROPERTIES[[#This Row],[TE_COEFFICIENT_MANUAL]],PROPERTIES[[#This Row],[TE_COEFFICIENT_CALC]]),3)</f>
        <v>0.16</v>
      </c>
      <c r="X81" s="9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1">
        <v>0</v>
      </c>
      <c r="Z81" s="7">
        <v>4</v>
      </c>
      <c r="AA81" t="s">
        <v>239</v>
      </c>
      <c r="AB81" t="s">
        <v>238</v>
      </c>
      <c r="AC81" t="s">
        <v>238</v>
      </c>
      <c r="AD81" s="2" t="s">
        <v>238</v>
      </c>
      <c r="AE81" s="2" t="s">
        <v>253</v>
      </c>
      <c r="AF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1" s="2" t="str">
        <f>SUBSTITUTE(SUBSTITUTE(PROPERTIES[[#This Row],[PURCHASECOST_VALUE]], "PURCHASECOST_", ""), "_VALUE", "")</f>
        <v>STEAMENGINE</v>
      </c>
      <c r="AI81" s="7" t="str" cm="1">
        <f t="array" ref="AI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1" s="43" t="b">
        <v>0</v>
      </c>
      <c r="AK81" s="8" t="b">
        <v>0</v>
      </c>
      <c r="BB81"/>
      <c r="BC81"/>
      <c r="BD81"/>
    </row>
    <row r="82" spans="1:56">
      <c r="A82" s="2" t="s">
        <v>3555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5" t="str">
        <f>_xlfn.XLOOKUP(PROPERTIES[[#This Row],[VEHIDCODE]],CONTROL[VEHIDCODE],CONTROL[ENGLISH])</f>
        <v>Union Giesserei 2-8-2T</v>
      </c>
      <c r="F82" t="s">
        <v>641</v>
      </c>
      <c r="G82" s="45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8">
        <v>94</v>
      </c>
      <c r="R82">
        <v>1360</v>
      </c>
      <c r="S82">
        <v>70</v>
      </c>
      <c r="T82" s="25">
        <v>0</v>
      </c>
      <c r="U82" s="24">
        <f>IFERROR(PROPERTIES[[#This Row],[TE_STARTING_KN]]/(PROPERTIES[[#This Row],[WEIGHT]]*9.81),0)</f>
        <v>0</v>
      </c>
      <c r="V82" s="24">
        <v>0.18</v>
      </c>
      <c r="W82" s="21">
        <f>ROUND(IF(IFERROR(PROPERTIES[[#This Row],[TE_COEFFICIENT_CALC]],0)=0,PROPERTIES[[#This Row],[TE_COEFFICIENT_MANUAL]],PROPERTIES[[#This Row],[TE_COEFFICIENT_CALC]]),3)</f>
        <v>0.18</v>
      </c>
      <c r="X82" s="9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1">
        <v>0</v>
      </c>
      <c r="Z82" s="7">
        <v>0</v>
      </c>
      <c r="AA82" t="s">
        <v>239</v>
      </c>
      <c r="AB82" t="s">
        <v>238</v>
      </c>
      <c r="AC82" t="s">
        <v>238</v>
      </c>
      <c r="AD82" s="2" t="s">
        <v>238</v>
      </c>
      <c r="AE82" s="2" t="s">
        <v>253</v>
      </c>
      <c r="AF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" s="2" t="str">
        <f>SUBSTITUTE(SUBSTITUTE(PROPERTIES[[#This Row],[PURCHASECOST_VALUE]], "PURCHASECOST_", ""), "_VALUE", "")</f>
        <v>STEAMENGINE</v>
      </c>
      <c r="AI82" s="7" t="str" cm="1">
        <f t="array" ref="AI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" s="43" t="b">
        <v>0</v>
      </c>
      <c r="AK82" s="8" t="b">
        <v>0</v>
      </c>
      <c r="BB82"/>
      <c r="BC82"/>
      <c r="BD82"/>
    </row>
    <row r="83" spans="1:56">
      <c r="A83" s="2" t="s">
        <v>2804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5" t="str">
        <f>_xlfn.XLOOKUP(PROPERTIES[[#This Row],[VEHIDCODE]],CONTROL[VEHIDCODE],CONTROL[ENGLISH])</f>
        <v>GWR 4900 'Hall'</v>
      </c>
      <c r="F83" t="s">
        <v>642</v>
      </c>
      <c r="G83" s="45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8">
        <v>122</v>
      </c>
      <c r="R83">
        <v>1450</v>
      </c>
      <c r="S83">
        <v>130</v>
      </c>
      <c r="T83" s="25">
        <v>0</v>
      </c>
      <c r="U83" s="24">
        <f>IFERROR(PROPERTIES[[#This Row],[TE_STARTING_KN]]/(PROPERTIES[[#This Row],[WEIGHT]]*9.81),0)</f>
        <v>0</v>
      </c>
      <c r="V83" s="24">
        <v>0.11</v>
      </c>
      <c r="W83" s="21">
        <f>ROUND(IF(IFERROR(PROPERTIES[[#This Row],[TE_COEFFICIENT_CALC]],0)=0,PROPERTIES[[#This Row],[TE_COEFFICIENT_MANUAL]],PROPERTIES[[#This Row],[TE_COEFFICIENT_CALC]]),3)</f>
        <v>0.11</v>
      </c>
      <c r="X83" s="9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1">
        <v>0</v>
      </c>
      <c r="Z83" s="7">
        <v>6</v>
      </c>
      <c r="AA83" t="s">
        <v>243</v>
      </c>
      <c r="AB83" t="s">
        <v>238</v>
      </c>
      <c r="AC83" t="s">
        <v>238</v>
      </c>
      <c r="AD83" s="2" t="s">
        <v>238</v>
      </c>
      <c r="AE83" s="2" t="s">
        <v>253</v>
      </c>
      <c r="AF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" s="2" t="str">
        <f>SUBSTITUTE(SUBSTITUTE(PROPERTIES[[#This Row],[PURCHASECOST_VALUE]], "PURCHASECOST_", ""), "_VALUE", "")</f>
        <v>STEAMENGINE</v>
      </c>
      <c r="AI83" s="7" t="str" cm="1">
        <f t="array" ref="AI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3" s="43" t="b">
        <v>0</v>
      </c>
      <c r="AK83" s="8" t="b">
        <v>0</v>
      </c>
      <c r="BB83"/>
      <c r="BC83"/>
      <c r="BD83"/>
    </row>
    <row r="84" spans="1:56">
      <c r="A84" s="2" t="s">
        <v>2805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5" t="str">
        <f>_xlfn.XLOOKUP(PROPERTIES[[#This Row],[VEHIDCODE]],CONTROL[VEHIDCODE],CONTROL[ENGLISH])</f>
        <v>GWR 5700 'Pannier'</v>
      </c>
      <c r="F84" t="s">
        <v>642</v>
      </c>
      <c r="G84" s="45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8">
        <v>48</v>
      </c>
      <c r="R84">
        <v>700</v>
      </c>
      <c r="S84">
        <v>72</v>
      </c>
      <c r="T84" s="25">
        <v>0</v>
      </c>
      <c r="U84" s="24">
        <f>IFERROR(PROPERTIES[[#This Row],[TE_STARTING_KN]]/(PROPERTIES[[#This Row],[WEIGHT]]*9.81),0)</f>
        <v>0</v>
      </c>
      <c r="V84" s="24">
        <v>0.21</v>
      </c>
      <c r="W84" s="21">
        <f>ROUND(IF(IFERROR(PROPERTIES[[#This Row],[TE_COEFFICIENT_CALC]],0)=0,PROPERTIES[[#This Row],[TE_COEFFICIENT_MANUAL]],PROPERTIES[[#This Row],[TE_COEFFICIENT_CALC]]),3)</f>
        <v>0.21</v>
      </c>
      <c r="X84" s="9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1">
        <v>0</v>
      </c>
      <c r="Z84" s="7">
        <v>0</v>
      </c>
      <c r="AA84" t="s">
        <v>243</v>
      </c>
      <c r="AB84" t="s">
        <v>238</v>
      </c>
      <c r="AC84" t="s">
        <v>238</v>
      </c>
      <c r="AD84" s="2" t="s">
        <v>238</v>
      </c>
      <c r="AE84" s="2" t="s">
        <v>253</v>
      </c>
      <c r="AF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" s="2" t="str">
        <f>SUBSTITUTE(SUBSTITUTE(PROPERTIES[[#This Row],[PURCHASECOST_VALUE]], "PURCHASECOST_", ""), "_VALUE", "")</f>
        <v>STEAMENGINE</v>
      </c>
      <c r="AI84" s="7" t="str" cm="1">
        <f t="array" ref="AI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" s="43" t="b">
        <v>0</v>
      </c>
      <c r="AK84" s="8" t="b">
        <v>0</v>
      </c>
      <c r="BB84"/>
      <c r="BC84"/>
      <c r="BD84"/>
    </row>
    <row r="85" spans="1:56">
      <c r="A85" s="2" t="s">
        <v>2806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5" t="str">
        <f>_xlfn.XLOOKUP(PROPERTIES[[#This Row],[VEHIDCODE]],CONTROL[VEHIDCODE],CONTROL[ENGLISH])</f>
        <v>Henschel &amp; Sohn series 6300</v>
      </c>
      <c r="F85" t="s">
        <v>731</v>
      </c>
      <c r="G85" s="45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8">
        <v>127</v>
      </c>
      <c r="R85">
        <v>1609</v>
      </c>
      <c r="S85">
        <v>90</v>
      </c>
      <c r="T85" s="25">
        <v>0</v>
      </c>
      <c r="U85" s="24">
        <f>IFERROR(PROPERTIES[[#This Row],[TE_STARTING_KN]]/(PROPERTIES[[#This Row],[WEIGHT]]*9.81),0)</f>
        <v>0</v>
      </c>
      <c r="V85" s="24">
        <v>0.12</v>
      </c>
      <c r="W85" s="21">
        <f>ROUND(IF(IFERROR(PROPERTIES[[#This Row],[TE_COEFFICIENT_CALC]],0)=0,PROPERTIES[[#This Row],[TE_COEFFICIENT_MANUAL]],PROPERTIES[[#This Row],[TE_COEFFICIENT_CALC]]),3)</f>
        <v>0.12</v>
      </c>
      <c r="X85" s="9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1">
        <v>0</v>
      </c>
      <c r="Z85" s="7">
        <v>0</v>
      </c>
      <c r="AA85" t="s">
        <v>239</v>
      </c>
      <c r="AB85" t="s">
        <v>238</v>
      </c>
      <c r="AC85" t="s">
        <v>238</v>
      </c>
      <c r="AD85" s="2" t="s">
        <v>238</v>
      </c>
      <c r="AE85" s="2" t="s">
        <v>253</v>
      </c>
      <c r="AF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5" s="2" t="str">
        <f>SUBSTITUTE(SUBSTITUTE(PROPERTIES[[#This Row],[PURCHASECOST_VALUE]], "PURCHASECOST_", ""), "_VALUE", "")</f>
        <v>STEAMENGINE</v>
      </c>
      <c r="AI85" s="7" t="str" cm="1">
        <f t="array" ref="AI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5" s="43" t="b">
        <v>0</v>
      </c>
      <c r="AK85" s="8" t="b">
        <v>0</v>
      </c>
      <c r="BB85"/>
      <c r="BC85"/>
      <c r="BD85"/>
    </row>
    <row r="86" spans="1:56">
      <c r="A86" s="2" t="s">
        <v>2807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5" t="str">
        <f>_xlfn.XLOOKUP(PROPERTIES[[#This Row],[VEHIDCODE]],CONTROL[VEHIDCODE],CONTROL[ENGLISH])</f>
        <v>Baldwin 5000 'Madame Queen'</v>
      </c>
      <c r="F86" t="s">
        <v>796</v>
      </c>
      <c r="G86" s="45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8">
        <v>415</v>
      </c>
      <c r="R86">
        <v>5000</v>
      </c>
      <c r="S86">
        <v>110</v>
      </c>
      <c r="T86" s="25">
        <v>0</v>
      </c>
      <c r="U86" s="24">
        <f>IFERROR(PROPERTIES[[#This Row],[TE_STARTING_KN]]/(PROPERTIES[[#This Row],[WEIGHT]]*9.81),0)</f>
        <v>0</v>
      </c>
      <c r="V86" s="24">
        <v>0.11</v>
      </c>
      <c r="W86" s="21">
        <f>ROUND(IF(IFERROR(PROPERTIES[[#This Row],[TE_COEFFICIENT_CALC]],0)=0,PROPERTIES[[#This Row],[TE_COEFFICIENT_MANUAL]],PROPERTIES[[#This Row],[TE_COEFFICIENT_CALC]]),3)</f>
        <v>0.11</v>
      </c>
      <c r="X86" s="9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1">
        <v>0</v>
      </c>
      <c r="Z86" s="7">
        <v>6</v>
      </c>
      <c r="AA86" t="s">
        <v>244</v>
      </c>
      <c r="AB86" t="s">
        <v>238</v>
      </c>
      <c r="AC86" t="s">
        <v>238</v>
      </c>
      <c r="AD86" s="2" t="s">
        <v>238</v>
      </c>
      <c r="AE86" s="2" t="s">
        <v>253</v>
      </c>
      <c r="AF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6" s="2" t="str">
        <f>SUBSTITUTE(SUBSTITUTE(PROPERTIES[[#This Row],[PURCHASECOST_VALUE]], "PURCHASECOST_", ""), "_VALUE", "")</f>
        <v>STEAMENGINE</v>
      </c>
      <c r="AI86" s="7" t="str" cm="1">
        <f t="array" ref="AI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6" s="43" t="b">
        <v>0</v>
      </c>
      <c r="AK86" s="8" t="b">
        <v>0</v>
      </c>
      <c r="BB86"/>
      <c r="BC86"/>
      <c r="BD86"/>
    </row>
    <row r="87" spans="1:56">
      <c r="A87" s="2" t="s">
        <v>2808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5" t="str">
        <f>_xlfn.XLOOKUP(PROPERTIES[[#This Row],[VEHIDCODE]],CONTROL[VEHIDCODE],CONTROL[ENGLISH])</f>
        <v>Schwartzkopff S 10 'Prussian'</v>
      </c>
      <c r="F87" t="s">
        <v>623</v>
      </c>
      <c r="G87" s="45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8">
        <v>140</v>
      </c>
      <c r="R87">
        <v>1500</v>
      </c>
      <c r="S87">
        <v>110</v>
      </c>
      <c r="T87" s="25">
        <v>0</v>
      </c>
      <c r="U87" s="24">
        <f>IFERROR(PROPERTIES[[#This Row],[TE_STARTING_KN]]/(PROPERTIES[[#This Row],[WEIGHT]]*9.81),0)</f>
        <v>0</v>
      </c>
      <c r="V87" s="24">
        <v>0.1</v>
      </c>
      <c r="W87" s="21">
        <f>ROUND(IF(IFERROR(PROPERTIES[[#This Row],[TE_COEFFICIENT_CALC]],0)=0,PROPERTIES[[#This Row],[TE_COEFFICIENT_MANUAL]],PROPERTIES[[#This Row],[TE_COEFFICIENT_CALC]]),3)</f>
        <v>0.1</v>
      </c>
      <c r="X87" s="9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1">
        <v>0</v>
      </c>
      <c r="Z87" s="7">
        <v>4</v>
      </c>
      <c r="AA87" t="s">
        <v>245</v>
      </c>
      <c r="AB87" t="s">
        <v>238</v>
      </c>
      <c r="AC87" t="s">
        <v>238</v>
      </c>
      <c r="AD87" s="2" t="s">
        <v>238</v>
      </c>
      <c r="AE87" s="2" t="s">
        <v>253</v>
      </c>
      <c r="AF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7" s="2" t="str">
        <f>SUBSTITUTE(SUBSTITUTE(PROPERTIES[[#This Row],[PURCHASECOST_VALUE]], "PURCHASECOST_", ""), "_VALUE", "")</f>
        <v>STEAMENGINE</v>
      </c>
      <c r="AI87" s="7" t="str" cm="1">
        <f t="array" ref="AI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" s="43" t="b">
        <v>0</v>
      </c>
      <c r="AK87" s="8" t="b">
        <v>0</v>
      </c>
      <c r="BB87"/>
      <c r="BC87"/>
      <c r="BD87"/>
    </row>
    <row r="88" spans="1:56">
      <c r="A88" s="2" t="s">
        <v>2809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5" t="str">
        <f>_xlfn.XLOOKUP(PROPERTIES[[#This Row],[VEHIDCODE]],CONTROL[VEHIDCODE],CONTROL[ENGLISH])</f>
        <v>LMS 5MT 'Black Five'</v>
      </c>
      <c r="F88" t="s">
        <v>642</v>
      </c>
      <c r="G88" s="45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8">
        <v>125</v>
      </c>
      <c r="R88">
        <v>1600</v>
      </c>
      <c r="S88">
        <v>145</v>
      </c>
      <c r="T88" s="25">
        <v>0</v>
      </c>
      <c r="U88" s="24">
        <f>IFERROR(PROPERTIES[[#This Row],[TE_STARTING_KN]]/(PROPERTIES[[#This Row],[WEIGHT]]*9.81),0)</f>
        <v>0</v>
      </c>
      <c r="V88" s="24">
        <v>0.11</v>
      </c>
      <c r="W88" s="21">
        <f>ROUND(IF(IFERROR(PROPERTIES[[#This Row],[TE_COEFFICIENT_CALC]],0)=0,PROPERTIES[[#This Row],[TE_COEFFICIENT_MANUAL]],PROPERTIES[[#This Row],[TE_COEFFICIENT_CALC]]),3)</f>
        <v>0.11</v>
      </c>
      <c r="X88" s="9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1">
        <v>0</v>
      </c>
      <c r="Z88" s="7">
        <v>5</v>
      </c>
      <c r="AA88" t="s">
        <v>243</v>
      </c>
      <c r="AB88" t="s">
        <v>238</v>
      </c>
      <c r="AC88" t="s">
        <v>238</v>
      </c>
      <c r="AD88" s="2" t="s">
        <v>238</v>
      </c>
      <c r="AE88" s="2" t="s">
        <v>253</v>
      </c>
      <c r="AF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" s="2" t="str">
        <f>SUBSTITUTE(SUBSTITUTE(PROPERTIES[[#This Row],[PURCHASECOST_VALUE]], "PURCHASECOST_", ""), "_VALUE", "")</f>
        <v>STEAMENGINE</v>
      </c>
      <c r="AI88" s="7" t="str" cm="1">
        <f t="array" ref="AI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" s="43" t="b">
        <v>0</v>
      </c>
      <c r="AK88" s="8" t="b">
        <v>0</v>
      </c>
      <c r="BB88"/>
      <c r="BC88"/>
      <c r="BD88"/>
    </row>
    <row r="89" spans="1:56">
      <c r="A89" s="2" t="s">
        <v>2810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5" t="str">
        <f>_xlfn.XLOOKUP(PROPERTIES[[#This Row],[VEHIDCODE]],CONTROL[VEHIDCODE],CONTROL[ENGLISH])</f>
        <v>Kolomna 9P</v>
      </c>
      <c r="F89" t="s">
        <v>755</v>
      </c>
      <c r="G89" s="45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8">
        <v>55</v>
      </c>
      <c r="R89">
        <v>450</v>
      </c>
      <c r="S89">
        <v>35</v>
      </c>
      <c r="T89" s="25">
        <v>0</v>
      </c>
      <c r="U89" s="24">
        <f>IFERROR(PROPERTIES[[#This Row],[TE_STARTING_KN]]/(PROPERTIES[[#This Row],[WEIGHT]]*9.81),0)</f>
        <v>0</v>
      </c>
      <c r="V89" s="24">
        <v>0.18</v>
      </c>
      <c r="W89" s="21">
        <f>ROUND(IF(IFERROR(PROPERTIES[[#This Row],[TE_COEFFICIENT_CALC]],0)=0,PROPERTIES[[#This Row],[TE_COEFFICIENT_MANUAL]],PROPERTIES[[#This Row],[TE_COEFFICIENT_CALC]]),3)</f>
        <v>0.18</v>
      </c>
      <c r="X89" s="9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1">
        <v>0</v>
      </c>
      <c r="Z89" s="7">
        <v>0</v>
      </c>
      <c r="AA89" t="s">
        <v>2016</v>
      </c>
      <c r="AB89" t="s">
        <v>238</v>
      </c>
      <c r="AC89" t="s">
        <v>238</v>
      </c>
      <c r="AD89" s="2" t="s">
        <v>238</v>
      </c>
      <c r="AE89" s="2" t="s">
        <v>253</v>
      </c>
      <c r="AF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" s="2" t="str">
        <f>SUBSTITUTE(SUBSTITUTE(PROPERTIES[[#This Row],[PURCHASECOST_VALUE]], "PURCHASECOST_", ""), "_VALUE", "")</f>
        <v>STEAMENGINE</v>
      </c>
      <c r="AI89" s="7" t="str" cm="1">
        <f t="array" ref="AI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" s="43" t="b">
        <v>0</v>
      </c>
      <c r="AK89" s="8" t="b">
        <v>0</v>
      </c>
      <c r="BB89"/>
      <c r="BC89"/>
      <c r="BD89"/>
    </row>
    <row r="90" spans="1:56">
      <c r="A90" s="2" t="s">
        <v>2811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5" t="str">
        <f>_xlfn.XLOOKUP(PROPERTIES[[#This Row],[VEHIDCODE]],CONTROL[VEHIDCODE],CONTROL[ENGLISH])</f>
        <v>LNER A4 'Gresley'</v>
      </c>
      <c r="F90" t="s">
        <v>642</v>
      </c>
      <c r="G90" s="45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8">
        <v>170</v>
      </c>
      <c r="R90">
        <v>2200</v>
      </c>
      <c r="S90">
        <v>140</v>
      </c>
      <c r="T90" s="25">
        <v>0</v>
      </c>
      <c r="U90" s="24">
        <f>IFERROR(PROPERTIES[[#This Row],[TE_STARTING_KN]]/(PROPERTIES[[#This Row],[WEIGHT]]*9.81),0)</f>
        <v>0</v>
      </c>
      <c r="V90" s="24">
        <v>0.09</v>
      </c>
      <c r="W90" s="21">
        <f>ROUND(IF(IFERROR(PROPERTIES[[#This Row],[TE_COEFFICIENT_CALC]],0)=0,PROPERTIES[[#This Row],[TE_COEFFICIENT_MANUAL]],PROPERTIES[[#This Row],[TE_COEFFICIENT_CALC]]),3)</f>
        <v>0.09</v>
      </c>
      <c r="X90" s="9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1">
        <v>0</v>
      </c>
      <c r="Z90" s="7">
        <v>6</v>
      </c>
      <c r="AA90" t="s">
        <v>243</v>
      </c>
      <c r="AB90" t="s">
        <v>238</v>
      </c>
      <c r="AC90" t="s">
        <v>238</v>
      </c>
      <c r="AD90" s="2" t="s">
        <v>238</v>
      </c>
      <c r="AE90" s="2" t="s">
        <v>253</v>
      </c>
      <c r="AF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0" s="2" t="str">
        <f>SUBSTITUTE(SUBSTITUTE(PROPERTIES[[#This Row],[PURCHASECOST_VALUE]], "PURCHASECOST_", ""), "_VALUE", "")</f>
        <v>STEAMENGINE</v>
      </c>
      <c r="AI90" s="7" t="str" cm="1">
        <f t="array" ref="AI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0" s="43" t="b">
        <v>0</v>
      </c>
      <c r="AK90" s="8" t="b">
        <v>0</v>
      </c>
      <c r="BB90"/>
      <c r="BC90"/>
      <c r="BD90"/>
    </row>
    <row r="91" spans="1:56">
      <c r="A91" s="2" t="s">
        <v>2812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5" t="str">
        <f>_xlfn.XLOOKUP(PROPERTIES[[#This Row],[VEHIDCODE]],CONTROL[VEHIDCODE],CONTROL[ENGLISH])</f>
        <v>MLW 'Royal Hudson'</v>
      </c>
      <c r="F91" t="s">
        <v>604</v>
      </c>
      <c r="G91" s="45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8">
        <v>286</v>
      </c>
      <c r="R91">
        <v>3100</v>
      </c>
      <c r="S91">
        <v>144</v>
      </c>
      <c r="T91" s="25">
        <v>0</v>
      </c>
      <c r="U91" s="24">
        <f>IFERROR(PROPERTIES[[#This Row],[TE_STARTING_KN]]/(PROPERTIES[[#This Row],[WEIGHT]]*9.81),0)</f>
        <v>0</v>
      </c>
      <c r="V91" s="24">
        <v>7.0000000000000007E-2</v>
      </c>
      <c r="W91" s="21">
        <f>ROUND(IF(IFERROR(PROPERTIES[[#This Row],[TE_COEFFICIENT_CALC]],0)=0,PROPERTIES[[#This Row],[TE_COEFFICIENT_MANUAL]],PROPERTIES[[#This Row],[TE_COEFFICIENT_CALC]]),3)</f>
        <v>7.0000000000000007E-2</v>
      </c>
      <c r="X91" s="9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1">
        <v>0</v>
      </c>
      <c r="Z91" s="7">
        <v>6</v>
      </c>
      <c r="AA91" t="s">
        <v>244</v>
      </c>
      <c r="AB91" t="s">
        <v>238</v>
      </c>
      <c r="AC91" t="s">
        <v>238</v>
      </c>
      <c r="AD91" s="2" t="s">
        <v>238</v>
      </c>
      <c r="AE91" s="2" t="s">
        <v>253</v>
      </c>
      <c r="AF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1" s="2" t="str">
        <f>SUBSTITUTE(SUBSTITUTE(PROPERTIES[[#This Row],[PURCHASECOST_VALUE]], "PURCHASECOST_", ""), "_VALUE", "")</f>
        <v>STEAMENGINE</v>
      </c>
      <c r="AI91" s="7" t="str" cm="1">
        <f t="array" ref="AI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1" s="43" t="b">
        <v>0</v>
      </c>
      <c r="AK91" s="8" t="b">
        <v>0</v>
      </c>
      <c r="BB91"/>
      <c r="BC91"/>
      <c r="BD91"/>
    </row>
    <row r="92" spans="1:56">
      <c r="A92" s="2" t="s">
        <v>2813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5" t="str">
        <f>_xlfn.XLOOKUP(PROPERTIES[[#This Row],[VEHIDCODE]],CONTROL[VEHIDCODE],CONTROL[ENGLISH])</f>
        <v>NOHAB 4-6-2 'F'</v>
      </c>
      <c r="F92" t="s">
        <v>625</v>
      </c>
      <c r="G92" s="45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8">
        <v>132</v>
      </c>
      <c r="R92">
        <v>1600</v>
      </c>
      <c r="S92">
        <v>110</v>
      </c>
      <c r="T92" s="25">
        <v>0</v>
      </c>
      <c r="U92" s="24">
        <f>IFERROR(PROPERTIES[[#This Row],[TE_STARTING_KN]]/(PROPERTIES[[#This Row],[WEIGHT]]*9.81),0)</f>
        <v>0</v>
      </c>
      <c r="V92" s="24">
        <v>0.09</v>
      </c>
      <c r="W92" s="21">
        <f>ROUND(IF(IFERROR(PROPERTIES[[#This Row],[TE_COEFFICIENT_CALC]],0)=0,PROPERTIES[[#This Row],[TE_COEFFICIENT_MANUAL]],PROPERTIES[[#This Row],[TE_COEFFICIENT_CALC]]),3)</f>
        <v>0.09</v>
      </c>
      <c r="X92" s="9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1">
        <v>0</v>
      </c>
      <c r="Z92" s="7">
        <v>4</v>
      </c>
      <c r="AA92" t="s">
        <v>243</v>
      </c>
      <c r="AB92" t="s">
        <v>238</v>
      </c>
      <c r="AC92" t="s">
        <v>238</v>
      </c>
      <c r="AD92" s="2" t="s">
        <v>238</v>
      </c>
      <c r="AE92" s="2" t="s">
        <v>253</v>
      </c>
      <c r="AF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2" s="2" t="str">
        <f>SUBSTITUTE(SUBSTITUTE(PROPERTIES[[#This Row],[PURCHASECOST_VALUE]], "PURCHASECOST_", ""), "_VALUE", "")</f>
        <v>STEAMENGINE</v>
      </c>
      <c r="AI92" s="7" t="str" cm="1">
        <f t="array" ref="AI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2" s="43" t="b">
        <v>0</v>
      </c>
      <c r="AK92" s="8" t="b">
        <v>0</v>
      </c>
      <c r="BB92"/>
      <c r="BC92"/>
      <c r="BD92"/>
    </row>
    <row r="93" spans="1:56">
      <c r="A93" s="2" t="s">
        <v>2814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5" t="str">
        <f>_xlfn.XLOOKUP(PROPERTIES[[#This Row],[VEHIDCODE]],CONTROL[VEHIDCODE],CONTROL[ENGLISH])</f>
        <v>GGL/HAS 52</v>
      </c>
      <c r="F93" t="s">
        <v>623</v>
      </c>
      <c r="G93" s="45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8">
        <v>150</v>
      </c>
      <c r="R93">
        <v>1600</v>
      </c>
      <c r="S93">
        <v>80</v>
      </c>
      <c r="T93" s="25">
        <v>0</v>
      </c>
      <c r="U93" s="24">
        <f>IFERROR(PROPERTIES[[#This Row],[TE_STARTING_KN]]/(PROPERTIES[[#This Row],[WEIGHT]]*9.81),0)</f>
        <v>0</v>
      </c>
      <c r="V93" s="24">
        <v>0.12</v>
      </c>
      <c r="W93" s="21">
        <f>ROUND(IF(IFERROR(PROPERTIES[[#This Row],[TE_COEFFICIENT_CALC]],0)=0,PROPERTIES[[#This Row],[TE_COEFFICIENT_MANUAL]],PROPERTIES[[#This Row],[TE_COEFFICIENT_CALC]]),3)</f>
        <v>0.12</v>
      </c>
      <c r="X93" s="9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1">
        <v>0</v>
      </c>
      <c r="Z93" s="7">
        <v>6</v>
      </c>
      <c r="AA93" t="s">
        <v>248</v>
      </c>
      <c r="AB93" t="s">
        <v>247</v>
      </c>
      <c r="AC93" t="s">
        <v>238</v>
      </c>
      <c r="AD93" s="2" t="s">
        <v>238</v>
      </c>
      <c r="AE93" s="2" t="s">
        <v>253</v>
      </c>
      <c r="AF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3" s="2" t="str">
        <f>SUBSTITUTE(SUBSTITUTE(PROPERTIES[[#This Row],[PURCHASECOST_VALUE]], "PURCHASECOST_", ""), "_VALUE", "")</f>
        <v>STEAMENGINE</v>
      </c>
      <c r="AI93" s="7" t="str" cm="1">
        <f t="array" ref="AI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3" s="43" t="b">
        <v>0</v>
      </c>
      <c r="AK93" s="8" t="b">
        <v>0</v>
      </c>
      <c r="BB93"/>
      <c r="BC93"/>
      <c r="BD93"/>
    </row>
    <row r="94" spans="1:56">
      <c r="A94" s="2" t="s">
        <v>2815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5" t="str">
        <f>_xlfn.XLOOKUP(PROPERTIES[[#This Row],[VEHIDCODE]],CONTROL[VEHIDCODE],CONTROL[ENGLISH])</f>
        <v>Doncaster/Darlington 'Peppercorn'</v>
      </c>
      <c r="F94" t="s">
        <v>642</v>
      </c>
      <c r="G94" s="45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8">
        <v>162</v>
      </c>
      <c r="R94">
        <v>2400</v>
      </c>
      <c r="S94">
        <v>160</v>
      </c>
      <c r="T94" s="25">
        <v>0</v>
      </c>
      <c r="U94" s="24">
        <f>IFERROR(PROPERTIES[[#This Row],[TE_STARTING_KN]]/(PROPERTIES[[#This Row],[WEIGHT]]*9.81),0)</f>
        <v>0</v>
      </c>
      <c r="V94" s="24">
        <v>0.11</v>
      </c>
      <c r="W94" s="21">
        <f>ROUND(IF(IFERROR(PROPERTIES[[#This Row],[TE_COEFFICIENT_CALC]],0)=0,PROPERTIES[[#This Row],[TE_COEFFICIENT_MANUAL]],PROPERTIES[[#This Row],[TE_COEFFICIENT_CALC]]),3)</f>
        <v>0.11</v>
      </c>
      <c r="X94" s="9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1">
        <v>0</v>
      </c>
      <c r="Z94" s="7">
        <v>5</v>
      </c>
      <c r="AA94" t="s">
        <v>243</v>
      </c>
      <c r="AB94" t="s">
        <v>238</v>
      </c>
      <c r="AC94" t="s">
        <v>238</v>
      </c>
      <c r="AD94" s="2" t="s">
        <v>238</v>
      </c>
      <c r="AE94" s="2" t="s">
        <v>253</v>
      </c>
      <c r="AF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" s="2" t="str">
        <f>SUBSTITUTE(SUBSTITUTE(PROPERTIES[[#This Row],[PURCHASECOST_VALUE]], "PURCHASECOST_", ""), "_VALUE", "")</f>
        <v>STEAMENGINE</v>
      </c>
      <c r="AI94" s="7" t="str" cm="1">
        <f t="array" ref="AI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" s="43" t="b">
        <v>0</v>
      </c>
      <c r="AK94" s="8" t="b">
        <v>0</v>
      </c>
      <c r="BB94"/>
      <c r="BC94"/>
      <c r="BD94"/>
    </row>
    <row r="95" spans="1:56">
      <c r="A95" s="2" t="s">
        <v>2816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5" t="str">
        <f>_xlfn.XLOOKUP(PROPERTIES[[#This Row],[VEHIDCODE]],CONTROL[VEHIDCODE],CONTROL[ENGLISH])</f>
        <v>Henschel &amp; Son 'Condenser'</v>
      </c>
      <c r="F95" t="s">
        <v>810</v>
      </c>
      <c r="G95" s="45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8">
        <v>231</v>
      </c>
      <c r="R95">
        <v>3000</v>
      </c>
      <c r="S95">
        <v>100</v>
      </c>
      <c r="T95" s="25">
        <v>201</v>
      </c>
      <c r="U95" s="24">
        <f>IFERROR(PROPERTIES[[#This Row],[TE_STARTING_KN]]/(PROPERTIES[[#This Row],[WEIGHT]]*9.81),0)</f>
        <v>8.8698253835868504E-2</v>
      </c>
      <c r="V95" s="24">
        <v>0</v>
      </c>
      <c r="W95" s="21">
        <f>ROUND(IF(IFERROR(PROPERTIES[[#This Row],[TE_COEFFICIENT_CALC]],0)=0,PROPERTIES[[#This Row],[TE_COEFFICIENT_MANUAL]],PROPERTIES[[#This Row],[TE_COEFFICIENT_CALC]]),3)</f>
        <v>8.8999999999999996E-2</v>
      </c>
      <c r="X95" s="9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1">
        <v>0</v>
      </c>
      <c r="Z95" s="7">
        <v>5</v>
      </c>
      <c r="AA95" t="s">
        <v>242</v>
      </c>
      <c r="AB95" t="s">
        <v>238</v>
      </c>
      <c r="AC95" t="s">
        <v>238</v>
      </c>
      <c r="AD95" s="2" t="s">
        <v>238</v>
      </c>
      <c r="AE95" s="2" t="s">
        <v>253</v>
      </c>
      <c r="AF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" s="2" t="str">
        <f>SUBSTITUTE(SUBSTITUTE(PROPERTIES[[#This Row],[PURCHASECOST_VALUE]], "PURCHASECOST_", ""), "_VALUE", "")</f>
        <v>STEAMENGINE</v>
      </c>
      <c r="AI95" s="7" t="str" cm="1">
        <f t="array" ref="AI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" s="43" t="b">
        <v>0</v>
      </c>
      <c r="AK95" s="8" t="b">
        <v>0</v>
      </c>
      <c r="BB95"/>
      <c r="BC95"/>
      <c r="BD95"/>
    </row>
    <row r="96" spans="1:56">
      <c r="A96" s="2" t="s">
        <v>2817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5" t="str">
        <f>_xlfn.XLOOKUP(PROPERTIES[[#This Row],[VEHIDCODE]],CONTROL[VEHIDCODE],CONTROL[ENGLISH])</f>
        <v>Kolomna P36</v>
      </c>
      <c r="F96" t="s">
        <v>755</v>
      </c>
      <c r="G96" s="45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8">
        <v>254</v>
      </c>
      <c r="R96">
        <v>3000</v>
      </c>
      <c r="S96">
        <v>125</v>
      </c>
      <c r="T96" s="25">
        <v>176</v>
      </c>
      <c r="U96" s="24">
        <f>IFERROR(PROPERTIES[[#This Row],[TE_STARTING_KN]]/(PROPERTIES[[#This Row],[WEIGHT]]*9.81),0)</f>
        <v>7.0633372663279473E-2</v>
      </c>
      <c r="V96" s="24">
        <v>0</v>
      </c>
      <c r="W96" s="21">
        <f>ROUND(IF(IFERROR(PROPERTIES[[#This Row],[TE_COEFFICIENT_CALC]],0)=0,PROPERTIES[[#This Row],[TE_COEFFICIENT_MANUAL]],PROPERTIES[[#This Row],[TE_COEFFICIENT_CALC]]),3)</f>
        <v>7.0999999999999994E-2</v>
      </c>
      <c r="X96" s="9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1">
        <v>0</v>
      </c>
      <c r="Z96" s="7">
        <v>6</v>
      </c>
      <c r="AA96" t="s">
        <v>2016</v>
      </c>
      <c r="AB96" t="s">
        <v>238</v>
      </c>
      <c r="AC96" t="s">
        <v>238</v>
      </c>
      <c r="AD96" s="2" t="s">
        <v>238</v>
      </c>
      <c r="AE96" s="2" t="s">
        <v>253</v>
      </c>
      <c r="AF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" s="2" t="str">
        <f>SUBSTITUTE(SUBSTITUTE(PROPERTIES[[#This Row],[PURCHASECOST_VALUE]], "PURCHASECOST_", ""), "_VALUE", "")</f>
        <v>STEAMENGINE</v>
      </c>
      <c r="AI96" s="7" t="str" cm="1">
        <f t="array" ref="AI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6" s="43" t="b">
        <v>0</v>
      </c>
      <c r="AK96" s="8" t="b">
        <v>0</v>
      </c>
      <c r="BB96"/>
      <c r="BC96"/>
      <c r="BD96"/>
    </row>
    <row r="97" spans="1:56">
      <c r="A97" s="2" t="s">
        <v>2818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5" t="str">
        <f>_xlfn.XLOOKUP(PROPERTIES[[#This Row],[VEHIDCODE]],CONTROL[VEHIDCODE],CONTROL[ENGLISH])</f>
        <v>ANF/DEL 150B</v>
      </c>
      <c r="F97" t="s">
        <v>641</v>
      </c>
      <c r="G97" s="45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8">
        <v>119</v>
      </c>
      <c r="R97">
        <v>1500</v>
      </c>
      <c r="S97">
        <v>105</v>
      </c>
      <c r="T97" s="25">
        <v>253</v>
      </c>
      <c r="U97" s="24">
        <f>IFERROR(PROPERTIES[[#This Row],[TE_STARTING_KN]]/(PROPERTIES[[#This Row],[WEIGHT]]*9.81),0)</f>
        <v>0.21672277473680601</v>
      </c>
      <c r="V97" s="24">
        <v>0</v>
      </c>
      <c r="W97" s="21">
        <f>ROUND(IF(IFERROR(PROPERTIES[[#This Row],[TE_COEFFICIENT_CALC]],0)=0,PROPERTIES[[#This Row],[TE_COEFFICIENT_MANUAL]],PROPERTIES[[#This Row],[TE_COEFFICIENT_CALC]]),3)</f>
        <v>0.217</v>
      </c>
      <c r="X97" s="9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1">
        <v>0</v>
      </c>
      <c r="Z97" s="7">
        <v>5</v>
      </c>
      <c r="AA97" t="s">
        <v>239</v>
      </c>
      <c r="AB97" t="s">
        <v>238</v>
      </c>
      <c r="AC97" t="s">
        <v>238</v>
      </c>
      <c r="AD97" s="2" t="s">
        <v>238</v>
      </c>
      <c r="AE97" s="2" t="s">
        <v>253</v>
      </c>
      <c r="AF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" s="2" t="str">
        <f>SUBSTITUTE(SUBSTITUTE(PROPERTIES[[#This Row],[PURCHASECOST_VALUE]], "PURCHASECOST_", ""), "_VALUE", "")</f>
        <v>STEAMENGINE</v>
      </c>
      <c r="AI97" s="7" t="str" cm="1">
        <f t="array" ref="AI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" s="43" t="b">
        <v>0</v>
      </c>
      <c r="AK97" s="8" t="b">
        <v>0</v>
      </c>
      <c r="BB97"/>
      <c r="BC97"/>
      <c r="BD97"/>
    </row>
    <row r="98" spans="1:56">
      <c r="A98" s="2" t="s">
        <v>2819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5" t="str">
        <f>_xlfn.XLOOKUP(PROPERTIES[[#This Row],[VEHIDCODE]],CONTROL[VEHIDCODE],CONTROL[ENGLISH])</f>
        <v>Henschel 895</v>
      </c>
      <c r="F98" t="s">
        <v>675</v>
      </c>
      <c r="G98" s="45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8">
        <v>55</v>
      </c>
      <c r="R98">
        <v>500</v>
      </c>
      <c r="S98">
        <v>40</v>
      </c>
      <c r="T98" s="25">
        <v>0</v>
      </c>
      <c r="U98" s="24">
        <f>IFERROR(PROPERTIES[[#This Row],[TE_STARTING_KN]]/(PROPERTIES[[#This Row],[WEIGHT]]*9.81),0)</f>
        <v>0</v>
      </c>
      <c r="V98" s="24">
        <v>0.21</v>
      </c>
      <c r="W98" s="21">
        <f>ROUND(IF(IFERROR(PROPERTIES[[#This Row],[TE_COEFFICIENT_CALC]],0)=0,PROPERTIES[[#This Row],[TE_COEFFICIENT_MANUAL]],PROPERTIES[[#This Row],[TE_COEFFICIENT_CALC]]),3)</f>
        <v>0.21</v>
      </c>
      <c r="X98" s="9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1">
        <v>0</v>
      </c>
      <c r="Z98" s="7">
        <v>0</v>
      </c>
      <c r="AA98" t="s">
        <v>240</v>
      </c>
      <c r="AB98" t="s">
        <v>238</v>
      </c>
      <c r="AC98" t="s">
        <v>238</v>
      </c>
      <c r="AD98" s="2" t="s">
        <v>238</v>
      </c>
      <c r="AE98" s="2" t="s">
        <v>253</v>
      </c>
      <c r="AF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8" s="2" t="str">
        <f>SUBSTITUTE(SUBSTITUTE(PROPERTIES[[#This Row],[PURCHASECOST_VALUE]], "PURCHASECOST_", ""), "_VALUE", "")</f>
        <v>STEAMENGINE</v>
      </c>
      <c r="AI98" s="7" t="str" cm="1">
        <f t="array" ref="AI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8" s="43" t="b">
        <v>0</v>
      </c>
      <c r="AK98" s="8" t="b">
        <v>0</v>
      </c>
      <c r="BB98"/>
      <c r="BC98"/>
      <c r="BD98"/>
    </row>
    <row r="99" spans="1:56">
      <c r="A99" s="2" t="s">
        <v>2820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5" t="str">
        <f>_xlfn.XLOOKUP(PROPERTIES[[#This Row],[VEHIDCODE]],CONTROL[VEHIDCODE],CONTROL[ENGLISH])</f>
        <v>H. Cegielski OKz32</v>
      </c>
      <c r="F99" t="s">
        <v>744</v>
      </c>
      <c r="G99" s="45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8">
        <v>118</v>
      </c>
      <c r="R99">
        <v>1868</v>
      </c>
      <c r="S99">
        <v>75</v>
      </c>
      <c r="T99" s="25">
        <v>0</v>
      </c>
      <c r="U99" s="24">
        <f>IFERROR(PROPERTIES[[#This Row],[TE_STARTING_KN]]/(PROPERTIES[[#This Row],[WEIGHT]]*9.81),0)</f>
        <v>0</v>
      </c>
      <c r="V99" s="24">
        <v>0.11</v>
      </c>
      <c r="W99" s="21">
        <f>ROUND(IF(IFERROR(PROPERTIES[[#This Row],[TE_COEFFICIENT_CALC]],0)=0,PROPERTIES[[#This Row],[TE_COEFFICIENT_MANUAL]],PROPERTIES[[#This Row],[TE_COEFFICIENT_CALC]]),3)</f>
        <v>0.11</v>
      </c>
      <c r="X99" s="9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1">
        <v>0</v>
      </c>
      <c r="Z99" s="7">
        <v>0</v>
      </c>
      <c r="AA99" t="s">
        <v>245</v>
      </c>
      <c r="AB99" t="s">
        <v>238</v>
      </c>
      <c r="AC99" t="s">
        <v>238</v>
      </c>
      <c r="AD99" s="2" t="s">
        <v>238</v>
      </c>
      <c r="AE99" s="2" t="s">
        <v>253</v>
      </c>
      <c r="AF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9" s="2" t="str">
        <f>SUBSTITUTE(SUBSTITUTE(PROPERTIES[[#This Row],[PURCHASECOST_VALUE]], "PURCHASECOST_", ""), "_VALUE", "")</f>
        <v>STEAMENGINE</v>
      </c>
      <c r="AI99" s="7" t="str" cm="1">
        <f t="array" ref="AI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" s="43" t="b">
        <v>0</v>
      </c>
      <c r="AK99" s="8" t="b">
        <v>0</v>
      </c>
      <c r="BB99"/>
      <c r="BC99"/>
      <c r="BD99"/>
    </row>
    <row r="100" spans="1:56">
      <c r="A100" s="2" t="s">
        <v>2821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5" t="str">
        <f>_xlfn.XLOOKUP(PROPERTIES[[#This Row],[VEHIDCODE]],CONTROL[VEHIDCODE],CONTROL[ENGLISH])</f>
        <v>SLM C 5/6 'Elephant'</v>
      </c>
      <c r="F100" t="s">
        <v>609</v>
      </c>
      <c r="G100" s="45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8">
        <v>151</v>
      </c>
      <c r="R100">
        <v>1620</v>
      </c>
      <c r="S100">
        <v>65</v>
      </c>
      <c r="T100" s="25">
        <v>0</v>
      </c>
      <c r="U100" s="24">
        <f>IFERROR(PROPERTIES[[#This Row],[TE_STARTING_KN]]/(PROPERTIES[[#This Row],[WEIGHT]]*9.81),0)</f>
        <v>0</v>
      </c>
      <c r="V100" s="24">
        <v>0.12</v>
      </c>
      <c r="W100" s="21">
        <f>ROUND(IF(IFERROR(PROPERTIES[[#This Row],[TE_COEFFICIENT_CALC]],0)=0,PROPERTIES[[#This Row],[TE_COEFFICIENT_MANUAL]],PROPERTIES[[#This Row],[TE_COEFFICIENT_CALC]]),3)</f>
        <v>0.12</v>
      </c>
      <c r="X100" s="9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1">
        <v>0</v>
      </c>
      <c r="Z100" s="7">
        <v>4</v>
      </c>
      <c r="AA100" t="s">
        <v>239</v>
      </c>
      <c r="AB100" t="s">
        <v>238</v>
      </c>
      <c r="AC100" t="s">
        <v>238</v>
      </c>
      <c r="AD100" s="2" t="s">
        <v>238</v>
      </c>
      <c r="AE100" s="2" t="s">
        <v>253</v>
      </c>
      <c r="AF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0" s="2" t="str">
        <f>SUBSTITUTE(SUBSTITUTE(PROPERTIES[[#This Row],[PURCHASECOST_VALUE]], "PURCHASECOST_", ""), "_VALUE", "")</f>
        <v>STEAMENGINE</v>
      </c>
      <c r="AI100" s="7" t="str" cm="1">
        <f t="array" ref="AI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" s="43" t="b">
        <v>0</v>
      </c>
      <c r="AK100" s="8" t="b">
        <v>0</v>
      </c>
      <c r="BB100"/>
      <c r="BC100"/>
      <c r="BD100"/>
    </row>
    <row r="101" spans="1:56">
      <c r="A101" s="2" t="s">
        <v>2822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5" t="str">
        <f>_xlfn.XLOOKUP(PROPERTIES[[#This Row],[VEHIDCODE]],CONTROL[VEHIDCODE],CONTROL[ENGLISH])</f>
        <v>ALCO series 4000 4-8-8-4 'Big Boy'</v>
      </c>
      <c r="F101" t="s">
        <v>796</v>
      </c>
      <c r="G101" s="45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8">
        <v>603</v>
      </c>
      <c r="R101">
        <v>6290</v>
      </c>
      <c r="S101">
        <v>128</v>
      </c>
      <c r="T101" s="25">
        <v>0</v>
      </c>
      <c r="U101" s="24">
        <f>IFERROR(PROPERTIES[[#This Row],[TE_STARTING_KN]]/(PROPERTIES[[#This Row],[WEIGHT]]*9.81),0)</f>
        <v>0</v>
      </c>
      <c r="V101" s="24">
        <v>0.1</v>
      </c>
      <c r="W101" s="21">
        <f>ROUND(IF(IFERROR(PROPERTIES[[#This Row],[TE_COEFFICIENT_CALC]],0)=0,PROPERTIES[[#This Row],[TE_COEFFICIENT_MANUAL]],PROPERTIES[[#This Row],[TE_COEFFICIENT_CALC]]),3)</f>
        <v>0.1</v>
      </c>
      <c r="X101" s="9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1">
        <v>0</v>
      </c>
      <c r="Z101" s="7">
        <v>7</v>
      </c>
      <c r="AA101" t="s">
        <v>244</v>
      </c>
      <c r="AB101" t="s">
        <v>238</v>
      </c>
      <c r="AC101" t="s">
        <v>238</v>
      </c>
      <c r="AD101" s="2" t="s">
        <v>238</v>
      </c>
      <c r="AE101" s="2" t="s">
        <v>253</v>
      </c>
      <c r="AF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1" s="2" t="str">
        <f>SUBSTITUTE(SUBSTITUTE(PROPERTIES[[#This Row],[PURCHASECOST_VALUE]], "PURCHASECOST_", ""), "_VALUE", "")</f>
        <v>STEAMENGINE</v>
      </c>
      <c r="AI101" s="7" t="str" cm="1">
        <f t="array" ref="AI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" s="43" t="b">
        <v>0</v>
      </c>
      <c r="AK101" s="8" t="b">
        <v>0</v>
      </c>
      <c r="BB101"/>
      <c r="BC101"/>
      <c r="BD101"/>
    </row>
    <row r="102" spans="1:56">
      <c r="A102" s="2" t="s">
        <v>2823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5" t="str">
        <f>_xlfn.XLOOKUP(PROPERTIES[[#This Row],[VEHIDCODE]],CONTROL[VEHIDCODE],CONTROL[ENGLISH])</f>
        <v>Sharp, Stewart &amp; Co 4-4-0 3557-3565</v>
      </c>
      <c r="F102" t="s">
        <v>731</v>
      </c>
      <c r="G102" s="45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8">
        <f>48+32</f>
        <v>80</v>
      </c>
      <c r="R102">
        <v>600</v>
      </c>
      <c r="S102">
        <v>90</v>
      </c>
      <c r="T102" s="25">
        <v>0</v>
      </c>
      <c r="U102" s="24">
        <f>IFERROR(PROPERTIES[[#This Row],[TE_STARTING_KN]]/(PROPERTIES[[#This Row],[WEIGHT]]*9.81),0)</f>
        <v>0</v>
      </c>
      <c r="V102" s="24">
        <v>0.08</v>
      </c>
      <c r="W102" s="21">
        <f>ROUND(IF(IFERROR(PROPERTIES[[#This Row],[TE_COEFFICIENT_CALC]],0)=0,PROPERTIES[[#This Row],[TE_COEFFICIENT_MANUAL]],PROPERTIES[[#This Row],[TE_COEFFICIENT_CALC]]),3)</f>
        <v>0.08</v>
      </c>
      <c r="X102" s="9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1">
        <v>0</v>
      </c>
      <c r="Z102" s="7">
        <v>3</v>
      </c>
      <c r="AA102" t="s">
        <v>239</v>
      </c>
      <c r="AB102" t="s">
        <v>238</v>
      </c>
      <c r="AC102" t="s">
        <v>238</v>
      </c>
      <c r="AD102" s="2" t="s">
        <v>238</v>
      </c>
      <c r="AE102" s="2" t="s">
        <v>253</v>
      </c>
      <c r="AF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" s="2" t="str">
        <f>SUBSTITUTE(SUBSTITUTE(PROPERTIES[[#This Row],[PURCHASECOST_VALUE]], "PURCHASECOST_", ""), "_VALUE", "")</f>
        <v>STEAMENGINE</v>
      </c>
      <c r="AI102" s="7" t="str" cm="1">
        <f t="array" ref="AI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2" s="43" t="b">
        <v>0</v>
      </c>
      <c r="AK102" s="8" t="b">
        <v>0</v>
      </c>
      <c r="BB102"/>
      <c r="BC102"/>
      <c r="BD102"/>
    </row>
    <row r="103" spans="1:56">
      <c r="A103" s="2" t="s">
        <v>2824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5" t="str">
        <f>_xlfn.XLOOKUP(PROPERTIES[[#This Row],[VEHIDCODE]],CONTROL[VEHIDCODE],CONTROL[ENGLISH])</f>
        <v>GWR Iron Duke</v>
      </c>
      <c r="F103" t="s">
        <v>642</v>
      </c>
      <c r="G103" s="45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8">
        <v>65</v>
      </c>
      <c r="R103">
        <v>450</v>
      </c>
      <c r="S103">
        <v>128</v>
      </c>
      <c r="T103" s="25">
        <v>0</v>
      </c>
      <c r="U103" s="24">
        <f>IFERROR(PROPERTIES[[#This Row],[TE_STARTING_KN]]/(PROPERTIES[[#This Row],[WEIGHT]]*9.81),0)</f>
        <v>0</v>
      </c>
      <c r="V103" s="24">
        <v>0.06</v>
      </c>
      <c r="W103" s="21">
        <f>ROUND(IF(IFERROR(PROPERTIES[[#This Row],[TE_COEFFICIENT_CALC]],0)=0,PROPERTIES[[#This Row],[TE_COEFFICIENT_MANUAL]],PROPERTIES[[#This Row],[TE_COEFFICIENT_CALC]]),3)</f>
        <v>0.06</v>
      </c>
      <c r="X103" s="9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1">
        <v>0</v>
      </c>
      <c r="Z103" s="7">
        <v>4</v>
      </c>
      <c r="AA103" t="s">
        <v>243</v>
      </c>
      <c r="AB103" t="s">
        <v>238</v>
      </c>
      <c r="AC103" t="s">
        <v>238</v>
      </c>
      <c r="AD103" s="2" t="s">
        <v>238</v>
      </c>
      <c r="AE103" s="2" t="s">
        <v>253</v>
      </c>
      <c r="AF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3" s="2" t="str">
        <f>SUBSTITUTE(SUBSTITUTE(PROPERTIES[[#This Row],[PURCHASECOST_VALUE]], "PURCHASECOST_", ""), "_VALUE", "")</f>
        <v>STEAMENGINE</v>
      </c>
      <c r="AI103" s="7" t="str" cm="1">
        <f t="array" ref="AI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3" s="43" t="b">
        <v>0</v>
      </c>
      <c r="AK103" s="8" t="b">
        <v>0</v>
      </c>
      <c r="BB103"/>
      <c r="BC103"/>
      <c r="BD103"/>
    </row>
    <row r="104" spans="1:56">
      <c r="A104" s="2" t="s">
        <v>2825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5" t="str">
        <f>_xlfn.XLOOKUP(PROPERTIES[[#This Row],[VEHIDCODE]],CONTROL[VEHIDCODE],CONTROL[ENGLISH])</f>
        <v>Stephenson 0-4-2 'Locomotive No.1'</v>
      </c>
      <c r="F104" t="s">
        <v>580</v>
      </c>
      <c r="G104" s="45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8">
        <v>45</v>
      </c>
      <c r="R104">
        <v>160</v>
      </c>
      <c r="S104">
        <v>55</v>
      </c>
      <c r="T104" s="25">
        <v>40</v>
      </c>
      <c r="U104" s="24">
        <f>IFERROR(PROPERTIES[[#This Row],[TE_STARTING_KN]]/(PROPERTIES[[#This Row],[WEIGHT]]*9.81),0)</f>
        <v>9.0610488164004979E-2</v>
      </c>
      <c r="V104" s="24">
        <v>0</v>
      </c>
      <c r="W104" s="21">
        <f>ROUND(IF(IFERROR(PROPERTIES[[#This Row],[TE_COEFFICIENT_CALC]],0)=0,PROPERTIES[[#This Row],[TE_COEFFICIENT_MANUAL]],PROPERTIES[[#This Row],[TE_COEFFICIENT_CALC]]),3)</f>
        <v>9.0999999999999998E-2</v>
      </c>
      <c r="X104" s="9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1">
        <v>0</v>
      </c>
      <c r="Z104" s="7">
        <v>4</v>
      </c>
      <c r="AA104" t="s">
        <v>241</v>
      </c>
      <c r="AB104" t="s">
        <v>238</v>
      </c>
      <c r="AC104" t="s">
        <v>238</v>
      </c>
      <c r="AD104" s="2" t="s">
        <v>238</v>
      </c>
      <c r="AE104" s="2" t="s">
        <v>253</v>
      </c>
      <c r="AF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4" s="2" t="str">
        <f>SUBSTITUTE(SUBSTITUTE(PROPERTIES[[#This Row],[PURCHASECOST_VALUE]], "PURCHASECOST_", ""), "_VALUE", "")</f>
        <v>STEAMENGINE</v>
      </c>
      <c r="AI104" s="7" t="str" cm="1">
        <f t="array" ref="AI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" s="43" t="b">
        <v>0</v>
      </c>
      <c r="AK104" s="8" t="b">
        <v>0</v>
      </c>
      <c r="BB104"/>
      <c r="BC104"/>
      <c r="BD104"/>
    </row>
    <row r="105" spans="1:56">
      <c r="A105" s="2" t="s">
        <v>2826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5" t="str">
        <f>_xlfn.XLOOKUP(PROPERTIES[[#This Row],[VEHIDCODE]],CONTROL[VEHIDCODE],CONTROL[ENGLISH])</f>
        <v>Cooke 4-2-2 'T. D. Judah'</v>
      </c>
      <c r="F105" t="s">
        <v>796</v>
      </c>
      <c r="G105" s="45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8">
        <v>18</v>
      </c>
      <c r="R105">
        <v>126</v>
      </c>
      <c r="S105">
        <v>65</v>
      </c>
      <c r="T105" s="25">
        <v>15.88</v>
      </c>
      <c r="U105" s="24">
        <f>IFERROR(PROPERTIES[[#This Row],[TE_STARTING_KN]]/(PROPERTIES[[#This Row],[WEIGHT]]*9.81),0)</f>
        <v>8.993090950277495E-2</v>
      </c>
      <c r="V105" s="24">
        <v>0</v>
      </c>
      <c r="W105" s="21">
        <f>ROUND(IF(IFERROR(PROPERTIES[[#This Row],[TE_COEFFICIENT_CALC]],0)=0,PROPERTIES[[#This Row],[TE_COEFFICIENT_MANUAL]],PROPERTIES[[#This Row],[TE_COEFFICIENT_CALC]]),3)</f>
        <v>0.09</v>
      </c>
      <c r="X105" s="9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1">
        <v>0</v>
      </c>
      <c r="Z105" s="7">
        <v>3</v>
      </c>
      <c r="AA105" t="s">
        <v>244</v>
      </c>
      <c r="AB105" t="s">
        <v>238</v>
      </c>
      <c r="AC105" t="s">
        <v>238</v>
      </c>
      <c r="AD105" s="2" t="s">
        <v>238</v>
      </c>
      <c r="AE105" s="2" t="s">
        <v>253</v>
      </c>
      <c r="AF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5" s="2" t="str">
        <f>SUBSTITUTE(SUBSTITUTE(PROPERTIES[[#This Row],[PURCHASECOST_VALUE]], "PURCHASECOST_", ""), "_VALUE", "")</f>
        <v>STEAMENGINE</v>
      </c>
      <c r="AI105" s="7" t="str" cm="1">
        <f t="array" ref="AI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5" s="43" t="b">
        <v>0</v>
      </c>
      <c r="AK105" s="8" t="b">
        <v>0</v>
      </c>
      <c r="BB105"/>
      <c r="BC105"/>
      <c r="BD105"/>
    </row>
    <row r="106" spans="1:56">
      <c r="A106" s="2" t="s">
        <v>2827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5" t="str">
        <f>_xlfn.XLOOKUP(PROPERTIES[[#This Row],[VEHIDCODE]],CONTROL[VEHIDCODE],CONTROL[ENGLISH])</f>
        <v>Beyer, P &amp; Co 2-4-0 SS 9-16, 21-78</v>
      </c>
      <c r="F106" t="s">
        <v>731</v>
      </c>
      <c r="G106" s="45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8">
        <v>49</v>
      </c>
      <c r="R106">
        <v>320</v>
      </c>
      <c r="S106">
        <v>90</v>
      </c>
      <c r="T106" s="25">
        <v>0</v>
      </c>
      <c r="U106" s="24">
        <f>IFERROR(PROPERTIES[[#This Row],[TE_STARTING_KN]]/(PROPERTIES[[#This Row],[WEIGHT]]*9.81),0)</f>
        <v>0</v>
      </c>
      <c r="V106" s="24">
        <v>7.0000000000000007E-2</v>
      </c>
      <c r="W106" s="21">
        <f>ROUND(IF(IFERROR(PROPERTIES[[#This Row],[TE_COEFFICIENT_CALC]],0)=0,PROPERTIES[[#This Row],[TE_COEFFICIENT_MANUAL]],PROPERTIES[[#This Row],[TE_COEFFICIENT_CALC]]),3)</f>
        <v>7.0000000000000007E-2</v>
      </c>
      <c r="X106" s="9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1">
        <v>0</v>
      </c>
      <c r="Z106" s="7">
        <v>3</v>
      </c>
      <c r="AA106" t="s">
        <v>239</v>
      </c>
      <c r="AB106" t="s">
        <v>238</v>
      </c>
      <c r="AC106" t="s">
        <v>238</v>
      </c>
      <c r="AD106" s="2" t="s">
        <v>238</v>
      </c>
      <c r="AE106" s="2" t="s">
        <v>253</v>
      </c>
      <c r="AF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6" s="2" t="str">
        <f>SUBSTITUTE(SUBSTITUTE(PROPERTIES[[#This Row],[PURCHASECOST_VALUE]], "PURCHASECOST_", ""), "_VALUE", "")</f>
        <v>STEAMENGINE</v>
      </c>
      <c r="AI106" s="7" t="str" cm="1">
        <f t="array" ref="AI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6" s="43" t="b">
        <v>0</v>
      </c>
      <c r="AK106" s="8" t="b">
        <v>0</v>
      </c>
      <c r="BB106"/>
      <c r="BC106"/>
      <c r="BD106"/>
    </row>
    <row r="107" spans="1:56">
      <c r="A107" s="2" t="s">
        <v>2828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5" t="str">
        <f>_xlfn.XLOOKUP(PROPERTIES[[#This Row],[VEHIDCODE]],CONTROL[VEHIDCODE],CONTROL[ENGLISH])</f>
        <v>Beyer, P &amp; Co 2-6-0T 1702-1706</v>
      </c>
      <c r="F107" t="s">
        <v>810</v>
      </c>
      <c r="G107" s="45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8">
        <v>30</v>
      </c>
      <c r="R107">
        <v>240</v>
      </c>
      <c r="S107">
        <v>55</v>
      </c>
      <c r="T107" s="25">
        <v>44</v>
      </c>
      <c r="U107" s="24">
        <f>IFERROR(PROPERTIES[[#This Row],[TE_STARTING_KN]]/(PROPERTIES[[#This Row],[WEIGHT]]*9.81),0)</f>
        <v>0.14950730547060823</v>
      </c>
      <c r="V107" s="24">
        <v>0</v>
      </c>
      <c r="W107" s="21">
        <f>ROUND(IF(IFERROR(PROPERTIES[[#This Row],[TE_COEFFICIENT_CALC]],0)=0,PROPERTIES[[#This Row],[TE_COEFFICIENT_MANUAL]],PROPERTIES[[#This Row],[TE_COEFFICIENT_CALC]]),3)</f>
        <v>0.15</v>
      </c>
      <c r="X107" s="9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1">
        <v>0</v>
      </c>
      <c r="Z107" s="7">
        <v>0</v>
      </c>
      <c r="AA107" t="s">
        <v>242</v>
      </c>
      <c r="AB107" t="s">
        <v>238</v>
      </c>
      <c r="AC107" t="s">
        <v>238</v>
      </c>
      <c r="AD107" s="2" t="s">
        <v>238</v>
      </c>
      <c r="AE107" s="2" t="s">
        <v>253</v>
      </c>
      <c r="AF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7" s="2" t="str">
        <f>SUBSTITUTE(SUBSTITUTE(PROPERTIES[[#This Row],[PURCHASECOST_VALUE]], "PURCHASECOST_", ""), "_VALUE", "")</f>
        <v>STEAMENGINE</v>
      </c>
      <c r="AI107" s="7" t="str" cm="1">
        <f t="array" ref="AI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7" s="43" t="b">
        <v>0</v>
      </c>
      <c r="AK107" s="8" t="b">
        <v>0</v>
      </c>
      <c r="BB107"/>
      <c r="BC107"/>
      <c r="BD107"/>
    </row>
    <row r="108" spans="1:56">
      <c r="A108" s="2" t="s">
        <v>2829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5" t="str">
        <f>_xlfn.XLOOKUP(PROPERTIES[[#This Row],[VEHIDCODE]],CONTROL[VEHIDCODE],CONTROL[ENGLISH])</f>
        <v>Beyer, P &amp; Co 2-6-0 2073-2092</v>
      </c>
      <c r="F108" t="s">
        <v>580</v>
      </c>
      <c r="G108" s="45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8">
        <v>75</v>
      </c>
      <c r="R108">
        <v>650</v>
      </c>
      <c r="S108">
        <v>80</v>
      </c>
      <c r="T108" s="25">
        <v>98.1</v>
      </c>
      <c r="U108" s="24">
        <f>IFERROR(PROPERTIES[[#This Row],[TE_STARTING_KN]]/(PROPERTIES[[#This Row],[WEIGHT]]*9.81),0)</f>
        <v>0.13333333333333333</v>
      </c>
      <c r="V108" s="24">
        <v>0</v>
      </c>
      <c r="W108" s="21">
        <f>ROUND(IF(IFERROR(PROPERTIES[[#This Row],[TE_COEFFICIENT_CALC]],0)=0,PROPERTIES[[#This Row],[TE_COEFFICIENT_MANUAL]],PROPERTIES[[#This Row],[TE_COEFFICIENT_CALC]]),3)</f>
        <v>0.13300000000000001</v>
      </c>
      <c r="X108" s="9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1">
        <v>0</v>
      </c>
      <c r="Z108" s="7">
        <v>4</v>
      </c>
      <c r="AA108" t="s">
        <v>241</v>
      </c>
      <c r="AB108" t="s">
        <v>238</v>
      </c>
      <c r="AC108" t="s">
        <v>238</v>
      </c>
      <c r="AD108" s="2" t="s">
        <v>238</v>
      </c>
      <c r="AE108" s="2" t="s">
        <v>253</v>
      </c>
      <c r="AF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8" s="2" t="str">
        <f>SUBSTITUTE(SUBSTITUTE(PROPERTIES[[#This Row],[PURCHASECOST_VALUE]], "PURCHASECOST_", ""), "_VALUE", "")</f>
        <v>STEAMENGINE</v>
      </c>
      <c r="AI108" s="7" t="str" cm="1">
        <f t="array" ref="AI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8" s="43" t="b">
        <v>0</v>
      </c>
      <c r="AK108" s="8" t="b">
        <v>0</v>
      </c>
      <c r="BB108"/>
      <c r="BC108"/>
      <c r="BD108"/>
    </row>
    <row r="109" spans="1:56">
      <c r="A109" s="2" t="s">
        <v>2830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5" t="str">
        <f>_xlfn.XLOOKUP(PROPERTIES[[#This Row],[VEHIDCODE]],CONTROL[VEHIDCODE],CONTROL[ENGLISH])</f>
        <v>Canadian Pacific 374</v>
      </c>
      <c r="F109" t="s">
        <v>604</v>
      </c>
      <c r="G109" s="45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8">
        <v>82</v>
      </c>
      <c r="R109">
        <v>380</v>
      </c>
      <c r="S109">
        <v>80</v>
      </c>
      <c r="T109" s="25">
        <v>67</v>
      </c>
      <c r="U109" s="24">
        <f>IFERROR(PROPERTIES[[#This Row],[TE_STARTING_KN]]/(PROPERTIES[[#This Row],[WEIGHT]]*9.81),0)</f>
        <v>8.3289823723925308E-2</v>
      </c>
      <c r="V109" s="24">
        <v>0</v>
      </c>
      <c r="W109" s="21">
        <f>ROUND(IF(IFERROR(PROPERTIES[[#This Row],[TE_COEFFICIENT_CALC]],0)=0,PROPERTIES[[#This Row],[TE_COEFFICIENT_MANUAL]],PROPERTIES[[#This Row],[TE_COEFFICIENT_CALC]]),3)</f>
        <v>8.3000000000000004E-2</v>
      </c>
      <c r="X109" s="9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1">
        <v>0</v>
      </c>
      <c r="Z109" s="7">
        <v>4</v>
      </c>
      <c r="AA109" t="s">
        <v>244</v>
      </c>
      <c r="AB109" t="s">
        <v>238</v>
      </c>
      <c r="AC109" t="s">
        <v>238</v>
      </c>
      <c r="AD109" s="2" t="s">
        <v>238</v>
      </c>
      <c r="AE109" s="2" t="s">
        <v>253</v>
      </c>
      <c r="AF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9" s="2" t="str">
        <f>SUBSTITUTE(SUBSTITUTE(PROPERTIES[[#This Row],[PURCHASECOST_VALUE]], "PURCHASECOST_", ""), "_VALUE", "")</f>
        <v>STEAMENGINE</v>
      </c>
      <c r="AI109" s="7" t="str" cm="1">
        <f t="array" ref="AI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9" s="43" t="b">
        <v>0</v>
      </c>
      <c r="AK109" s="8" t="b">
        <v>0</v>
      </c>
      <c r="BB109"/>
      <c r="BC109"/>
      <c r="BD109"/>
    </row>
    <row r="110" spans="1:56">
      <c r="A110" s="2" t="s">
        <v>2831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5" t="str">
        <f>_xlfn.XLOOKUP(PROPERTIES[[#This Row],[VEHIDCODE]],CONTROL[VEHIDCODE],CONTROL[ENGLISH])</f>
        <v>Nasmyth, Wilson &amp; Co '35-tonner' 4-6-0T</v>
      </c>
      <c r="F110" t="s">
        <v>810</v>
      </c>
      <c r="G110" s="45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8">
        <v>36</v>
      </c>
      <c r="R110">
        <v>220</v>
      </c>
      <c r="S110">
        <v>60</v>
      </c>
      <c r="T110" s="25">
        <v>41.6</v>
      </c>
      <c r="U110" s="24">
        <f>IFERROR(PROPERTIES[[#This Row],[TE_STARTING_KN]]/(PROPERTIES[[#This Row],[WEIGHT]]*9.81),0)</f>
        <v>0.11779363461320648</v>
      </c>
      <c r="V110" s="24">
        <v>0</v>
      </c>
      <c r="W110" s="21">
        <f>ROUND(IF(IFERROR(PROPERTIES[[#This Row],[TE_COEFFICIENT_CALC]],0)=0,PROPERTIES[[#This Row],[TE_COEFFICIENT_MANUAL]],PROPERTIES[[#This Row],[TE_COEFFICIENT_CALC]]),3)</f>
        <v>0.11799999999999999</v>
      </c>
      <c r="X110" s="9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1">
        <v>0</v>
      </c>
      <c r="Z110" s="7">
        <v>0</v>
      </c>
      <c r="AA110" t="s">
        <v>242</v>
      </c>
      <c r="AB110" t="s">
        <v>238</v>
      </c>
      <c r="AC110" t="s">
        <v>238</v>
      </c>
      <c r="AD110" s="2" t="s">
        <v>238</v>
      </c>
      <c r="AE110" s="2" t="s">
        <v>253</v>
      </c>
      <c r="AF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0" s="2" t="str">
        <f>SUBSTITUTE(SUBSTITUTE(PROPERTIES[[#This Row],[PURCHASECOST_VALUE]], "PURCHASECOST_", ""), "_VALUE", "")</f>
        <v>STEAMENGINE</v>
      </c>
      <c r="AI110" s="7" t="str" cm="1">
        <f t="array" ref="AI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0" s="43" t="b">
        <v>0</v>
      </c>
      <c r="AK110" s="8" t="b">
        <v>0</v>
      </c>
      <c r="BB110"/>
      <c r="BC110"/>
      <c r="BD110"/>
    </row>
    <row r="111" spans="1:56">
      <c r="A111" s="2" t="s">
        <v>2832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5" t="str">
        <f>_xlfn.XLOOKUP(PROPERTIES[[#This Row],[VEHIDCODE]],CONTROL[VEHIDCODE],CONTROL[ENGLISH])</f>
        <v>Schneider RENFE 040</v>
      </c>
      <c r="F111" t="s">
        <v>634</v>
      </c>
      <c r="G111" s="45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8">
        <v>88.5</v>
      </c>
      <c r="R111">
        <v>750</v>
      </c>
      <c r="S111">
        <v>55</v>
      </c>
      <c r="T111" s="25">
        <v>118</v>
      </c>
      <c r="U111" s="24">
        <f>IFERROR(PROPERTIES[[#This Row],[TE_STARTING_KN]]/(PROPERTIES[[#This Row],[WEIGHT]]*9.81),0)</f>
        <v>0.13591573224600748</v>
      </c>
      <c r="V111" s="24">
        <v>0</v>
      </c>
      <c r="W111" s="21">
        <f>ROUND(IF(IFERROR(PROPERTIES[[#This Row],[TE_COEFFICIENT_CALC]],0)=0,PROPERTIES[[#This Row],[TE_COEFFICIENT_MANUAL]],PROPERTIES[[#This Row],[TE_COEFFICIENT_CALC]]),3)</f>
        <v>0.13600000000000001</v>
      </c>
      <c r="X111" s="9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1">
        <v>0</v>
      </c>
      <c r="Z111" s="7">
        <v>3</v>
      </c>
      <c r="AA111" t="s">
        <v>240</v>
      </c>
      <c r="AB111" t="s">
        <v>238</v>
      </c>
      <c r="AC111" t="s">
        <v>238</v>
      </c>
      <c r="AD111" s="2" t="s">
        <v>238</v>
      </c>
      <c r="AE111" s="2" t="s">
        <v>253</v>
      </c>
      <c r="AF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1" s="2" t="str">
        <f>SUBSTITUTE(SUBSTITUTE(PROPERTIES[[#This Row],[PURCHASECOST_VALUE]], "PURCHASECOST_", ""), "_VALUE", "")</f>
        <v>STEAMENGINE</v>
      </c>
      <c r="AI111" s="7" t="str" cm="1">
        <f t="array" ref="AI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1" s="43" t="b">
        <v>0</v>
      </c>
      <c r="AK111" s="8" t="b">
        <v>0</v>
      </c>
      <c r="BB111"/>
      <c r="BC111"/>
      <c r="BD111"/>
    </row>
    <row r="112" spans="1:56">
      <c r="A112" s="2" t="s">
        <v>2833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5" t="str">
        <f>_xlfn.XLOOKUP(PROPERTIES[[#This Row],[VEHIDCODE]],CONTROL[VEHIDCODE],CONTROL[ENGLISH])</f>
        <v>Sächsische Maschinenfabrik IV K</v>
      </c>
      <c r="F112" t="s">
        <v>623</v>
      </c>
      <c r="G112" s="45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8">
        <v>27</v>
      </c>
      <c r="R112">
        <v>206</v>
      </c>
      <c r="S112">
        <v>30</v>
      </c>
      <c r="T112" s="25">
        <v>42.17</v>
      </c>
      <c r="U112" s="24">
        <f>IFERROR(PROPERTIES[[#This Row],[TE_STARTING_KN]]/(PROPERTIES[[#This Row],[WEIGHT]]*9.81),0)</f>
        <v>0.15921017857817044</v>
      </c>
      <c r="V112" s="24">
        <v>0</v>
      </c>
      <c r="W112" s="21">
        <f>ROUND(IF(IFERROR(PROPERTIES[[#This Row],[TE_COEFFICIENT_CALC]],0)=0,PROPERTIES[[#This Row],[TE_COEFFICIENT_MANUAL]],PROPERTIES[[#This Row],[TE_COEFFICIENT_CALC]]),3)</f>
        <v>0.159</v>
      </c>
      <c r="X112" s="9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1">
        <v>0</v>
      </c>
      <c r="Z112" s="7">
        <v>0</v>
      </c>
      <c r="AA112" t="s">
        <v>239</v>
      </c>
      <c r="AB112" t="s">
        <v>238</v>
      </c>
      <c r="AC112" t="s">
        <v>238</v>
      </c>
      <c r="AD112" s="2" t="s">
        <v>238</v>
      </c>
      <c r="AE112" s="2" t="s">
        <v>253</v>
      </c>
      <c r="AF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2" s="2" t="str">
        <f>SUBSTITUTE(SUBSTITUTE(PROPERTIES[[#This Row],[PURCHASECOST_VALUE]], "PURCHASECOST_", ""), "_VALUE", "")</f>
        <v>STEAMENGINE</v>
      </c>
      <c r="AI112" s="7" t="str" cm="1">
        <f t="array" ref="AI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2" s="43" t="b">
        <v>0</v>
      </c>
      <c r="AK112" s="8" t="b">
        <v>0</v>
      </c>
      <c r="BB112"/>
      <c r="BC112"/>
      <c r="BD112"/>
    </row>
    <row r="113" spans="1:56">
      <c r="A113" s="2" t="s">
        <v>2834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5" t="str">
        <f>_xlfn.XLOOKUP(PROPERTIES[[#This Row],[VEHIDCODE]],CONTROL[VEHIDCODE],CONTROL[ENGLISH])</f>
        <v>Hanomag S 3</v>
      </c>
      <c r="F113" t="s">
        <v>623</v>
      </c>
      <c r="G113" s="45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8">
        <v>50.5</v>
      </c>
      <c r="R113">
        <v>580</v>
      </c>
      <c r="S113">
        <v>100</v>
      </c>
      <c r="T113" s="25">
        <v>64</v>
      </c>
      <c r="U113" s="24">
        <f>IFERROR(PROPERTIES[[#This Row],[TE_STARTING_KN]]/(PROPERTIES[[#This Row],[WEIGHT]]*9.81),0)</f>
        <v>0.12918723064967047</v>
      </c>
      <c r="V113" s="24">
        <v>0</v>
      </c>
      <c r="W113" s="21">
        <f>ROUND(IF(IFERROR(PROPERTIES[[#This Row],[TE_COEFFICIENT_CALC]],0)=0,PROPERTIES[[#This Row],[TE_COEFFICIENT_MANUAL]],PROPERTIES[[#This Row],[TE_COEFFICIENT_CALC]]),3)</f>
        <v>0.129</v>
      </c>
      <c r="X113" s="9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1">
        <v>0</v>
      </c>
      <c r="Z113" s="7">
        <v>4</v>
      </c>
      <c r="AA113" t="s">
        <v>239</v>
      </c>
      <c r="AB113" t="s">
        <v>238</v>
      </c>
      <c r="AC113" t="s">
        <v>238</v>
      </c>
      <c r="AD113" s="2" t="s">
        <v>238</v>
      </c>
      <c r="AE113" s="2" t="s">
        <v>253</v>
      </c>
      <c r="AF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3" s="2" t="str">
        <f>SUBSTITUTE(SUBSTITUTE(PROPERTIES[[#This Row],[PURCHASECOST_VALUE]], "PURCHASECOST_", ""), "_VALUE", "")</f>
        <v>STEAMENGINE</v>
      </c>
      <c r="AI113" s="7" t="str" cm="1">
        <f t="array" ref="AI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3" s="43" t="b">
        <v>0</v>
      </c>
      <c r="AK113" s="8" t="b">
        <v>0</v>
      </c>
      <c r="BB113"/>
      <c r="BC113"/>
      <c r="BD113"/>
    </row>
    <row r="114" spans="1:56">
      <c r="A114" s="2" t="s">
        <v>2835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5" t="str">
        <f>_xlfn.XLOOKUP(PROPERTIES[[#This Row],[VEHIDCODE]],CONTROL[VEHIDCODE],CONTROL[ENGLISH])</f>
        <v>Thune XXIa</v>
      </c>
      <c r="F114" t="s">
        <v>732</v>
      </c>
      <c r="G114" s="45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8">
        <v>77.599999999999994</v>
      </c>
      <c r="R114">
        <v>700</v>
      </c>
      <c r="S114">
        <v>60</v>
      </c>
      <c r="T114" s="25">
        <v>82.56</v>
      </c>
      <c r="U114" s="24">
        <f>IFERROR(PROPERTIES[[#This Row],[TE_STARTING_KN]]/(PROPERTIES[[#This Row],[WEIGHT]]*9.81),0)</f>
        <v>0.10845234717361835</v>
      </c>
      <c r="V114" s="24">
        <v>0</v>
      </c>
      <c r="W114" s="21">
        <f>ROUND(IF(IFERROR(PROPERTIES[[#This Row],[TE_COEFFICIENT_CALC]],0)=0,PROPERTIES[[#This Row],[TE_COEFFICIENT_MANUAL]],PROPERTIES[[#This Row],[TE_COEFFICIENT_CALC]]),3)</f>
        <v>0.108</v>
      </c>
      <c r="X114" s="9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1">
        <v>0</v>
      </c>
      <c r="Z114" s="7">
        <v>0</v>
      </c>
      <c r="AA114" t="s">
        <v>243</v>
      </c>
      <c r="AB114" t="s">
        <v>238</v>
      </c>
      <c r="AC114" t="s">
        <v>238</v>
      </c>
      <c r="AD114" s="2" t="s">
        <v>238</v>
      </c>
      <c r="AE114" s="2" t="s">
        <v>253</v>
      </c>
      <c r="AF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4" s="2" t="str">
        <f>SUBSTITUTE(SUBSTITUTE(PROPERTIES[[#This Row],[PURCHASECOST_VALUE]], "PURCHASECOST_", ""), "_VALUE", "")</f>
        <v>STEAMENGINE</v>
      </c>
      <c r="AI114" s="7" t="str" cm="1">
        <f t="array" ref="AI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4" s="43" t="b">
        <v>0</v>
      </c>
      <c r="AK114" s="8" t="b">
        <v>0</v>
      </c>
      <c r="BB114"/>
      <c r="BC114"/>
      <c r="BD114"/>
    </row>
    <row r="115" spans="1:56">
      <c r="A115" s="2" t="s">
        <v>2836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5" t="str">
        <f>_xlfn.XLOOKUP(PROPERTIES[[#This Row],[VEHIDCODE]],CONTROL[VEHIDCODE],CONTROL[ENGLISH])</f>
        <v>PRR D16</v>
      </c>
      <c r="F115" t="s">
        <v>796</v>
      </c>
      <c r="G115" s="45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8">
        <v>106.5</v>
      </c>
      <c r="R115">
        <v>850</v>
      </c>
      <c r="S115">
        <v>128</v>
      </c>
      <c r="T115" s="25">
        <v>77.84</v>
      </c>
      <c r="U115" s="24">
        <f>IFERROR(PROPERTIES[[#This Row],[TE_STARTING_KN]]/(PROPERTIES[[#This Row],[WEIGHT]]*9.81),0)</f>
        <v>7.4504792943867762E-2</v>
      </c>
      <c r="V115" s="24">
        <v>0</v>
      </c>
      <c r="W115" s="21">
        <f>ROUND(IF(IFERROR(PROPERTIES[[#This Row],[TE_COEFFICIENT_CALC]],0)=0,PROPERTIES[[#This Row],[TE_COEFFICIENT_MANUAL]],PROPERTIES[[#This Row],[TE_COEFFICIENT_CALC]]),3)</f>
        <v>7.4999999999999997E-2</v>
      </c>
      <c r="X115" s="9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1">
        <v>0</v>
      </c>
      <c r="Z115" s="7">
        <v>4</v>
      </c>
      <c r="AA115" t="s">
        <v>244</v>
      </c>
      <c r="AB115" t="s">
        <v>238</v>
      </c>
      <c r="AC115" t="s">
        <v>238</v>
      </c>
      <c r="AD115" s="2" t="s">
        <v>238</v>
      </c>
      <c r="AE115" s="2" t="s">
        <v>253</v>
      </c>
      <c r="AF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5" s="2" t="str">
        <f>SUBSTITUTE(SUBSTITUTE(PROPERTIES[[#This Row],[PURCHASECOST_VALUE]], "PURCHASECOST_", ""), "_VALUE", "")</f>
        <v>STEAMENGINE</v>
      </c>
      <c r="AI115" s="7" t="str" cm="1">
        <f t="array" ref="AI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15" s="43" t="b">
        <v>0</v>
      </c>
      <c r="AK115" s="8" t="b">
        <v>0</v>
      </c>
      <c r="BB115"/>
      <c r="BC115"/>
      <c r="BD115"/>
    </row>
    <row r="116" spans="1:56">
      <c r="A116" s="2" t="s">
        <v>2837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5" t="str">
        <f>_xlfn.XLOOKUP(PROPERTIES[[#This Row],[VEHIDCODE]],CONTROL[VEHIDCODE],CONTROL[ENGLISH])</f>
        <v>Machinefabriek Breda 661-667</v>
      </c>
      <c r="F116" t="s">
        <v>731</v>
      </c>
      <c r="G116" s="45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8">
        <v>35</v>
      </c>
      <c r="R116">
        <v>290</v>
      </c>
      <c r="S116">
        <v>45</v>
      </c>
      <c r="T116" s="25">
        <v>68</v>
      </c>
      <c r="U116" s="24">
        <f>IFERROR(PROPERTIES[[#This Row],[TE_STARTING_KN]]/(PROPERTIES[[#This Row],[WEIGHT]]*9.81),0)</f>
        <v>0.19804863841561088</v>
      </c>
      <c r="V116" s="24">
        <v>0</v>
      </c>
      <c r="W116" s="21">
        <f>ROUND(IF(IFERROR(PROPERTIES[[#This Row],[TE_COEFFICIENT_CALC]],0)=0,PROPERTIES[[#This Row],[TE_COEFFICIENT_MANUAL]],PROPERTIES[[#This Row],[TE_COEFFICIENT_CALC]]),3)</f>
        <v>0.19800000000000001</v>
      </c>
      <c r="X116" s="9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1">
        <v>0</v>
      </c>
      <c r="Z116" s="7">
        <v>0</v>
      </c>
      <c r="AA116" t="s">
        <v>239</v>
      </c>
      <c r="AB116" t="s">
        <v>238</v>
      </c>
      <c r="AC116" t="s">
        <v>238</v>
      </c>
      <c r="AD116" s="2" t="s">
        <v>238</v>
      </c>
      <c r="AE116" s="2" t="s">
        <v>253</v>
      </c>
      <c r="AF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6" s="2" t="str">
        <f>SUBSTITUTE(SUBSTITUTE(PROPERTIES[[#This Row],[PURCHASECOST_VALUE]], "PURCHASECOST_", ""), "_VALUE", "")</f>
        <v>STEAMENGINE</v>
      </c>
      <c r="AI116" s="7" t="str" cm="1">
        <f t="array" ref="AI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6" s="43" t="b">
        <v>0</v>
      </c>
      <c r="AK116" s="8" t="b">
        <v>0</v>
      </c>
      <c r="BB116"/>
      <c r="BC116"/>
      <c r="BD116"/>
    </row>
    <row r="117" spans="1:56">
      <c r="A117" s="2" t="s">
        <v>2838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5" t="str">
        <f>_xlfn.XLOOKUP(PROPERTIES[[#This Row],[VEHIDCODE]],CONTROL[VEHIDCODE],CONTROL[ENGLISH])</f>
        <v>ALCO 46581 2-6-6-2 'Mallet'</v>
      </c>
      <c r="F117" t="s">
        <v>810</v>
      </c>
      <c r="G117" s="45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8">
        <v>159.9</v>
      </c>
      <c r="R117">
        <v>1200</v>
      </c>
      <c r="S117">
        <v>50</v>
      </c>
      <c r="T117" s="25">
        <v>204</v>
      </c>
      <c r="U117" s="24">
        <f>IFERROR(PROPERTIES[[#This Row],[TE_STARTING_KN]]/(PROPERTIES[[#This Row],[WEIGHT]]*9.81),0)</f>
        <v>0.13005070064814972</v>
      </c>
      <c r="V117" s="24">
        <v>0</v>
      </c>
      <c r="W117" s="21">
        <f>ROUND(IF(IFERROR(PROPERTIES[[#This Row],[TE_COEFFICIENT_CALC]],0)=0,PROPERTIES[[#This Row],[TE_COEFFICIENT_MANUAL]],PROPERTIES[[#This Row],[TE_COEFFICIENT_CALC]]),3)</f>
        <v>0.13</v>
      </c>
      <c r="X117" s="9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1">
        <v>0</v>
      </c>
      <c r="Z117" s="7">
        <v>5</v>
      </c>
      <c r="AA117" t="s">
        <v>242</v>
      </c>
      <c r="AB117" t="s">
        <v>238</v>
      </c>
      <c r="AC117" t="s">
        <v>238</v>
      </c>
      <c r="AD117" s="2" t="s">
        <v>238</v>
      </c>
      <c r="AE117" s="2" t="s">
        <v>253</v>
      </c>
      <c r="AF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7" s="2" t="str">
        <f>SUBSTITUTE(SUBSTITUTE(PROPERTIES[[#This Row],[PURCHASECOST_VALUE]], "PURCHASECOST_", ""), "_VALUE", "")</f>
        <v>STEAMENGINE</v>
      </c>
      <c r="AI117" s="7" t="str" cm="1">
        <f t="array" ref="AI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17" s="43" t="b">
        <v>0</v>
      </c>
      <c r="AK117" s="8" t="b">
        <v>0</v>
      </c>
      <c r="BB117"/>
      <c r="BC117"/>
      <c r="BD117"/>
    </row>
    <row r="118" spans="1:56">
      <c r="A118" s="2" t="s">
        <v>2839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5" t="str">
        <f>_xlfn.XLOOKUP(PROPERTIES[[#This Row],[VEHIDCODE]],CONTROL[VEHIDCODE],CONTROL[ENGLISH])</f>
        <v>Orenstein &amp; Koppel 2-8-0 '8-Tender'</v>
      </c>
      <c r="F118" t="s">
        <v>725</v>
      </c>
      <c r="G118" s="45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8">
        <v>67.099999999999994</v>
      </c>
      <c r="R118">
        <v>750</v>
      </c>
      <c r="S118">
        <v>60</v>
      </c>
      <c r="T118" s="25">
        <v>60.4</v>
      </c>
      <c r="U118" s="24">
        <f>IFERROR(PROPERTIES[[#This Row],[TE_STARTING_KN]]/(PROPERTIES[[#This Row],[WEIGHT]]*9.81),0)</f>
        <v>9.1758311039405946E-2</v>
      </c>
      <c r="V118" s="24">
        <v>0</v>
      </c>
      <c r="W118" s="21">
        <f>ROUND(IF(IFERROR(PROPERTIES[[#This Row],[TE_COEFFICIENT_CALC]],0)=0,PROPERTIES[[#This Row],[TE_COEFFICIENT_MANUAL]],PROPERTIES[[#This Row],[TE_COEFFICIENT_CALC]]),3)</f>
        <v>9.1999999999999998E-2</v>
      </c>
      <c r="X118" s="9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1">
        <v>0</v>
      </c>
      <c r="Z118" s="7">
        <v>4</v>
      </c>
      <c r="AA118" t="s">
        <v>242</v>
      </c>
      <c r="AB118" t="s">
        <v>238</v>
      </c>
      <c r="AC118" t="s">
        <v>238</v>
      </c>
      <c r="AD118" s="2" t="s">
        <v>238</v>
      </c>
      <c r="AE118" s="2" t="s">
        <v>253</v>
      </c>
      <c r="AF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8" s="2" t="str">
        <f>SUBSTITUTE(SUBSTITUTE(PROPERTIES[[#This Row],[PURCHASECOST_VALUE]], "PURCHASECOST_", ""), "_VALUE", "")</f>
        <v>STEAMENGINE</v>
      </c>
      <c r="AI118" s="7" t="str" cm="1">
        <f t="array" ref="AI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8" s="43" t="b">
        <v>0</v>
      </c>
      <c r="AK118" s="8" t="b">
        <v>0</v>
      </c>
      <c r="BB118"/>
      <c r="BC118"/>
      <c r="BD118"/>
    </row>
    <row r="119" spans="1:56">
      <c r="A119" s="2" t="s">
        <v>2840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5" t="str">
        <f>_xlfn.XLOOKUP(PROPERTIES[[#This Row],[VEHIDCODE]],CONTROL[VEHIDCODE],CONTROL[ENGLISH])</f>
        <v>Stratford Works L77 'LNER N7'</v>
      </c>
      <c r="F119" t="s">
        <v>642</v>
      </c>
      <c r="G119" s="45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8">
        <v>63</v>
      </c>
      <c r="R119">
        <v>850</v>
      </c>
      <c r="S119">
        <v>75</v>
      </c>
      <c r="T119" s="25">
        <v>91.24</v>
      </c>
      <c r="U119" s="24">
        <f>IFERROR(PROPERTIES[[#This Row],[TE_STARTING_KN]]/(PROPERTIES[[#This Row],[WEIGHT]]*9.81),0)</f>
        <v>0.14763037393006809</v>
      </c>
      <c r="V119" s="24">
        <v>0</v>
      </c>
      <c r="W119" s="21">
        <f>ROUND(IF(IFERROR(PROPERTIES[[#This Row],[TE_COEFFICIENT_CALC]],0)=0,PROPERTIES[[#This Row],[TE_COEFFICIENT_MANUAL]],PROPERTIES[[#This Row],[TE_COEFFICIENT_CALC]]),3)</f>
        <v>0.14799999999999999</v>
      </c>
      <c r="X119" s="9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1">
        <v>0</v>
      </c>
      <c r="Z119" s="7">
        <v>0</v>
      </c>
      <c r="AA119" t="s">
        <v>243</v>
      </c>
      <c r="AB119" t="s">
        <v>238</v>
      </c>
      <c r="AC119" t="s">
        <v>238</v>
      </c>
      <c r="AD119" s="2" t="s">
        <v>238</v>
      </c>
      <c r="AE119" s="2" t="s">
        <v>253</v>
      </c>
      <c r="AF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9" s="2" t="str">
        <f>SUBSTITUTE(SUBSTITUTE(PROPERTIES[[#This Row],[PURCHASECOST_VALUE]], "PURCHASECOST_", ""), "_VALUE", "")</f>
        <v>STEAMENGINE</v>
      </c>
      <c r="AI119" s="7" t="str" cm="1">
        <f t="array" ref="AI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9" s="43" t="b">
        <v>0</v>
      </c>
      <c r="AK119" s="8" t="b">
        <v>0</v>
      </c>
      <c r="BB119"/>
      <c r="BC119"/>
      <c r="BD119"/>
    </row>
    <row r="120" spans="1:56">
      <c r="A120" s="2" t="s">
        <v>2841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5" t="str">
        <f>_xlfn.XLOOKUP(PROPERTIES[[#This Row],[VEHIDCODE]],CONTROL[VEHIDCODE],CONTROL[ENGLISH])</f>
        <v>Sächsische Maschinenfabrik XX HV</v>
      </c>
      <c r="F120" t="s">
        <v>623</v>
      </c>
      <c r="G120" s="45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8">
        <v>162.69999999999999</v>
      </c>
      <c r="R120">
        <v>1780</v>
      </c>
      <c r="S120">
        <v>115</v>
      </c>
      <c r="T120" s="25">
        <v>112</v>
      </c>
      <c r="U120" s="24">
        <f>IFERROR(PROPERTIES[[#This Row],[TE_STARTING_KN]]/(PROPERTIES[[#This Row],[WEIGHT]]*9.81),0)</f>
        <v>7.0171613452148909E-2</v>
      </c>
      <c r="V120" s="24">
        <v>0</v>
      </c>
      <c r="W120" s="21">
        <f>ROUND(IF(IFERROR(PROPERTIES[[#This Row],[TE_COEFFICIENT_CALC]],0)=0,PROPERTIES[[#This Row],[TE_COEFFICIENT_MANUAL]],PROPERTIES[[#This Row],[TE_COEFFICIENT_CALC]]),3)</f>
        <v>7.0000000000000007E-2</v>
      </c>
      <c r="X120" s="9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1">
        <v>0</v>
      </c>
      <c r="Z120" s="7">
        <v>6</v>
      </c>
      <c r="AA120" t="s">
        <v>239</v>
      </c>
      <c r="AB120" t="s">
        <v>238</v>
      </c>
      <c r="AC120" t="s">
        <v>238</v>
      </c>
      <c r="AD120" s="2" t="s">
        <v>238</v>
      </c>
      <c r="AE120" s="2" t="s">
        <v>253</v>
      </c>
      <c r="AF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0" s="2" t="str">
        <f>SUBSTITUTE(SUBSTITUTE(PROPERTIES[[#This Row],[PURCHASECOST_VALUE]], "PURCHASECOST_", ""), "_VALUE", "")</f>
        <v>STEAMENGINE</v>
      </c>
      <c r="AI120" s="7" t="str" cm="1">
        <f t="array" ref="AI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0" s="43" t="b">
        <v>0</v>
      </c>
      <c r="AK120" s="8" t="b">
        <v>0</v>
      </c>
      <c r="BB120"/>
      <c r="BC120"/>
      <c r="BD120"/>
    </row>
    <row r="121" spans="1:56">
      <c r="A121" s="2" t="s">
        <v>2842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5" t="str">
        <f>_xlfn.XLOOKUP(PROPERTIES[[#This Row],[VEHIDCODE]],CONTROL[VEHIDCODE],CONTROL[ENGLISH])</f>
        <v>Beyer, P &amp; Co 2-4-0 SS 9-16</v>
      </c>
      <c r="F121" t="s">
        <v>587</v>
      </c>
      <c r="G121" s="45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8">
        <v>133</v>
      </c>
      <c r="R121">
        <v>1600</v>
      </c>
      <c r="S121">
        <v>110</v>
      </c>
      <c r="T121" s="25">
        <v>102</v>
      </c>
      <c r="U121" s="24">
        <f>IFERROR(PROPERTIES[[#This Row],[TE_STARTING_KN]]/(PROPERTIES[[#This Row],[WEIGHT]]*9.81),0)</f>
        <v>7.8177094111425358E-2</v>
      </c>
      <c r="V121" s="24">
        <v>0</v>
      </c>
      <c r="W121" s="21">
        <f>ROUND(IF(IFERROR(PROPERTIES[[#This Row],[TE_COEFFICIENT_CALC]],0)=0,PROPERTIES[[#This Row],[TE_COEFFICIENT_MANUAL]],PROPERTIES[[#This Row],[TE_COEFFICIENT_CALC]]),3)</f>
        <v>7.8E-2</v>
      </c>
      <c r="X121" s="9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1">
        <v>0</v>
      </c>
      <c r="Z121" s="7">
        <v>4</v>
      </c>
      <c r="AA121" t="s">
        <v>239</v>
      </c>
      <c r="AB121" t="s">
        <v>238</v>
      </c>
      <c r="AC121" t="s">
        <v>238</v>
      </c>
      <c r="AD121" s="2" t="s">
        <v>238</v>
      </c>
      <c r="AE121" s="2" t="s">
        <v>253</v>
      </c>
      <c r="AF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1" s="2" t="str">
        <f>SUBSTITUTE(SUBSTITUTE(PROPERTIES[[#This Row],[PURCHASECOST_VALUE]], "PURCHASECOST_", ""), "_VALUE", "")</f>
        <v>STEAMENGINE</v>
      </c>
      <c r="AI121" s="7" t="str" cm="1">
        <f t="array" ref="AI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21" s="43" t="b">
        <v>0</v>
      </c>
      <c r="AK121" s="8" t="b">
        <v>0</v>
      </c>
      <c r="BB121"/>
      <c r="BC121"/>
      <c r="BD121"/>
    </row>
    <row r="122" spans="1:56">
      <c r="A122" s="2" t="s">
        <v>2843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5" t="str">
        <f>_xlfn.XLOOKUP(PROPERTIES[[#This Row],[VEHIDCODE]],CONTROL[VEHIDCODE],CONTROL[ENGLISH])</f>
        <v>Beyer, P &amp; Co 2-6-0 6112-6113</v>
      </c>
      <c r="F122" t="s">
        <v>667</v>
      </c>
      <c r="G122" s="45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8">
        <v>84</v>
      </c>
      <c r="R122">
        <v>550</v>
      </c>
      <c r="S122">
        <v>120</v>
      </c>
      <c r="T122" s="25">
        <v>101.8</v>
      </c>
      <c r="U122" s="24">
        <f>IFERROR(PROPERTIES[[#This Row],[TE_STARTING_KN]]/(PROPERTIES[[#This Row],[WEIGHT]]*9.81),0)</f>
        <v>0.12353769234503179</v>
      </c>
      <c r="V122" s="24">
        <v>0</v>
      </c>
      <c r="W122" s="21">
        <f>ROUND(IF(IFERROR(PROPERTIES[[#This Row],[TE_COEFFICIENT_CALC]],0)=0,PROPERTIES[[#This Row],[TE_COEFFICIENT_MANUAL]],PROPERTIES[[#This Row],[TE_COEFFICIENT_CALC]]),3)</f>
        <v>0.124</v>
      </c>
      <c r="X122" s="9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1">
        <v>0</v>
      </c>
      <c r="Z122" s="7">
        <v>4</v>
      </c>
      <c r="AA122" t="s">
        <v>243</v>
      </c>
      <c r="AB122" t="s">
        <v>238</v>
      </c>
      <c r="AC122" t="s">
        <v>238</v>
      </c>
      <c r="AD122" s="2" t="s">
        <v>238</v>
      </c>
      <c r="AE122" s="2" t="s">
        <v>253</v>
      </c>
      <c r="AF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2" s="2" t="str">
        <f>SUBSTITUTE(SUBSTITUTE(PROPERTIES[[#This Row],[PURCHASECOST_VALUE]], "PURCHASECOST_", ""), "_VALUE", "")</f>
        <v>STEAMENGINE</v>
      </c>
      <c r="AI122" s="7" t="str" cm="1">
        <f t="array" ref="AI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22" s="43" t="b">
        <v>0</v>
      </c>
      <c r="AK122" s="8" t="b">
        <v>0</v>
      </c>
      <c r="BB122"/>
      <c r="BC122"/>
      <c r="BD122"/>
    </row>
    <row r="123" spans="1:56">
      <c r="A123" s="2" t="s">
        <v>2844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5" t="str">
        <f>_xlfn.XLOOKUP(PROPERTIES[[#This Row],[VEHIDCODE]],CONTROL[VEHIDCODE],CONTROL[ENGLISH])</f>
        <v>Baldwin 10-32-E 55246</v>
      </c>
      <c r="F123" t="s">
        <v>796</v>
      </c>
      <c r="G123" s="45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8">
        <v>105</v>
      </c>
      <c r="R123">
        <v>850</v>
      </c>
      <c r="S123">
        <v>65</v>
      </c>
      <c r="T123" s="25">
        <v>136.80000000000001</v>
      </c>
      <c r="U123" s="24">
        <f>IFERROR(PROPERTIES[[#This Row],[TE_STARTING_KN]]/(PROPERTIES[[#This Row],[WEIGHT]]*9.81),0)</f>
        <v>0.13280908693752733</v>
      </c>
      <c r="V123" s="24">
        <v>0</v>
      </c>
      <c r="W123" s="21">
        <f>ROUND(IF(IFERROR(PROPERTIES[[#This Row],[TE_COEFFICIENT_CALC]],0)=0,PROPERTIES[[#This Row],[TE_COEFFICIENT_MANUAL]],PROPERTIES[[#This Row],[TE_COEFFICIENT_CALC]]),3)</f>
        <v>0.13300000000000001</v>
      </c>
      <c r="X123" s="9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1">
        <v>0</v>
      </c>
      <c r="Z123" s="7">
        <v>4</v>
      </c>
      <c r="AA123" t="s">
        <v>244</v>
      </c>
      <c r="AB123" t="s">
        <v>238</v>
      </c>
      <c r="AC123" t="s">
        <v>238</v>
      </c>
      <c r="AD123" s="2" t="s">
        <v>238</v>
      </c>
      <c r="AE123" s="2" t="s">
        <v>253</v>
      </c>
      <c r="AF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3" s="2" t="str">
        <f>SUBSTITUTE(SUBSTITUTE(PROPERTIES[[#This Row],[PURCHASECOST_VALUE]], "PURCHASECOST_", ""), "_VALUE", "")</f>
        <v>STEAMENGINE</v>
      </c>
      <c r="AI123" s="7" t="str" cm="1">
        <f t="array" ref="AI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3" s="43" t="b">
        <v>0</v>
      </c>
      <c r="AK123" s="8" t="b">
        <v>0</v>
      </c>
      <c r="BB123"/>
      <c r="BC123"/>
      <c r="BD123"/>
    </row>
    <row r="124" spans="1:56">
      <c r="A124" s="2" t="s">
        <v>3537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5" t="str">
        <f>_xlfn.XLOOKUP(PROPERTIES[[#This Row],[VEHIDCODE]],CONTROL[VEHIDCODE],CONTROL[ENGLISH])</f>
        <v xml:space="preserve">Canadian National U-1-a </v>
      </c>
      <c r="F124" t="s">
        <v>604</v>
      </c>
      <c r="G124" s="45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8">
        <v>273</v>
      </c>
      <c r="R124">
        <v>3200</v>
      </c>
      <c r="S124">
        <v>130</v>
      </c>
      <c r="T124" s="25">
        <v>220.6</v>
      </c>
      <c r="U124" s="24">
        <f>IFERROR(PROPERTIES[[#This Row],[TE_STARTING_KN]]/(PROPERTIES[[#This Row],[WEIGHT]]*9.81),0)</f>
        <v>8.2370908058981451E-2</v>
      </c>
      <c r="V124" s="24">
        <v>0</v>
      </c>
      <c r="W124" s="21">
        <f>ROUND(IF(IFERROR(PROPERTIES[[#This Row],[TE_COEFFICIENT_CALC]],0)=0,PROPERTIES[[#This Row],[TE_COEFFICIENT_MANUAL]],PROPERTIES[[#This Row],[TE_COEFFICIENT_CALC]]),3)</f>
        <v>8.2000000000000003E-2</v>
      </c>
      <c r="X124" s="9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1">
        <v>0</v>
      </c>
      <c r="Z124" s="7">
        <v>6</v>
      </c>
      <c r="AA124" t="s">
        <v>244</v>
      </c>
      <c r="AB124" t="s">
        <v>238</v>
      </c>
      <c r="AC124" t="s">
        <v>238</v>
      </c>
      <c r="AD124" s="2" t="s">
        <v>238</v>
      </c>
      <c r="AE124" s="2" t="s">
        <v>253</v>
      </c>
      <c r="AF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4" s="2" t="str">
        <f>SUBSTITUTE(SUBSTITUTE(PROPERTIES[[#This Row],[PURCHASECOST_VALUE]], "PURCHASECOST_", ""), "_VALUE", "")</f>
        <v>STEAMENGINE</v>
      </c>
      <c r="AI124" s="7" t="str" cm="1">
        <f t="array" ref="AI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4" s="43" t="b">
        <v>0</v>
      </c>
      <c r="AK124" s="8" t="b">
        <v>0</v>
      </c>
      <c r="BB124"/>
      <c r="BC124"/>
      <c r="BD124"/>
    </row>
    <row r="125" spans="1:56">
      <c r="A125" s="2" t="s">
        <v>2845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5" t="str">
        <f>_xlfn.XLOOKUP(PROPERTIES[[#This Row],[VEHIDCODE]],CONTROL[VEHIDCODE],CONTROL[ENGLISH])</f>
        <v>Vulcan Foundry 2-6-4 Class XB</v>
      </c>
      <c r="F125" t="s">
        <v>670</v>
      </c>
      <c r="G125" s="45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8">
        <v>162.5</v>
      </c>
      <c r="R125">
        <v>2150</v>
      </c>
      <c r="S125">
        <v>110</v>
      </c>
      <c r="T125" s="25">
        <v>119.03</v>
      </c>
      <c r="U125" s="24">
        <f>IFERROR(PROPERTIES[[#This Row],[TE_STARTING_KN]]/(PROPERTIES[[#This Row],[WEIGHT]]*9.81),0)</f>
        <v>7.4667921273425863E-2</v>
      </c>
      <c r="V125" s="24">
        <v>0</v>
      </c>
      <c r="W125" s="21">
        <f>ROUND(IF(IFERROR(PROPERTIES[[#This Row],[TE_COEFFICIENT_CALC]],0)=0,PROPERTIES[[#This Row],[TE_COEFFICIENT_MANUAL]],PROPERTIES[[#This Row],[TE_COEFFICIENT_CALC]]),3)</f>
        <v>7.4999999999999997E-2</v>
      </c>
      <c r="X125" s="9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1">
        <v>0</v>
      </c>
      <c r="Z125" s="7">
        <v>7</v>
      </c>
      <c r="AA125" t="s">
        <v>247</v>
      </c>
      <c r="AB125" t="s">
        <v>238</v>
      </c>
      <c r="AC125" t="s">
        <v>238</v>
      </c>
      <c r="AD125" s="2" t="s">
        <v>238</v>
      </c>
      <c r="AE125" s="2" t="s">
        <v>253</v>
      </c>
      <c r="AF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5" s="2" t="str">
        <f>SUBSTITUTE(SUBSTITUTE(PROPERTIES[[#This Row],[PURCHASECOST_VALUE]], "PURCHASECOST_", ""), "_VALUE", "")</f>
        <v>STEAMENGINE</v>
      </c>
      <c r="AI125" s="7" t="str" cm="1">
        <f t="array" ref="AI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5" s="43" t="b">
        <v>0</v>
      </c>
      <c r="AK125" s="8" t="b">
        <v>0</v>
      </c>
      <c r="BB125"/>
      <c r="BC125"/>
      <c r="BD125"/>
    </row>
    <row r="126" spans="1:56">
      <c r="A126" s="2" t="s">
        <v>2846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5" t="str">
        <f>_xlfn.XLOOKUP(PROPERTIES[[#This Row],[VEHIDCODE]],CONTROL[VEHIDCODE],CONTROL[ENGLISH])</f>
        <v>Robert Stephenson 4-6-2 6982-6985</v>
      </c>
      <c r="F126" t="s">
        <v>672</v>
      </c>
      <c r="G126" s="45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8">
        <v>162</v>
      </c>
      <c r="R126">
        <v>1640</v>
      </c>
      <c r="S126">
        <v>110</v>
      </c>
      <c r="T126" s="25">
        <v>0</v>
      </c>
      <c r="U126" s="24">
        <f>IFERROR(PROPERTIES[[#This Row],[TE_STARTING_KN]]/(PROPERTIES[[#This Row],[WEIGHT]]*9.81),0)</f>
        <v>0</v>
      </c>
      <c r="V126" s="24">
        <v>0.08</v>
      </c>
      <c r="W126" s="21">
        <f>ROUND(IF(IFERROR(PROPERTIES[[#This Row],[TE_COEFFICIENT_CALC]],0)=0,PROPERTIES[[#This Row],[TE_COEFFICIENT_MANUAL]],PROPERTIES[[#This Row],[TE_COEFFICIENT_CALC]]),3)</f>
        <v>0.08</v>
      </c>
      <c r="X126" s="9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1">
        <v>0</v>
      </c>
      <c r="Z126" s="7">
        <v>6</v>
      </c>
      <c r="AA126" t="s">
        <v>247</v>
      </c>
      <c r="AB126" t="s">
        <v>238</v>
      </c>
      <c r="AC126" t="s">
        <v>238</v>
      </c>
      <c r="AD126" s="2" t="s">
        <v>238</v>
      </c>
      <c r="AE126" s="2" t="s">
        <v>253</v>
      </c>
      <c r="AF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6" s="2" t="str">
        <f>SUBSTITUTE(SUBSTITUTE(PROPERTIES[[#This Row],[PURCHASECOST_VALUE]], "PURCHASECOST_", ""), "_VALUE", "")</f>
        <v>STEAMENGINE</v>
      </c>
      <c r="AI126" s="7" t="str" cm="1">
        <f t="array" ref="AI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6" s="43" t="b">
        <v>0</v>
      </c>
      <c r="AK126" s="8" t="b">
        <v>0</v>
      </c>
      <c r="BB126"/>
      <c r="BC126"/>
      <c r="BD126"/>
    </row>
    <row r="127" spans="1:56">
      <c r="A127" s="2" t="s">
        <v>2847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5" t="str">
        <f>_xlfn.XLOOKUP(PROPERTIES[[#This Row],[VEHIDCODE]],CONTROL[VEHIDCODE],CONTROL[ENGLISH])</f>
        <v>LMS Fowler 3F WD 0-6-0T</v>
      </c>
      <c r="F127" t="s">
        <v>642</v>
      </c>
      <c r="G127" s="45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8">
        <v>46</v>
      </c>
      <c r="R127">
        <v>560</v>
      </c>
      <c r="S127">
        <v>65</v>
      </c>
      <c r="T127" s="25">
        <v>92.68</v>
      </c>
      <c r="U127" s="24">
        <f>IFERROR(PROPERTIES[[#This Row],[TE_STARTING_KN]]/(PROPERTIES[[#This Row],[WEIGHT]]*9.81),0)</f>
        <v>0.20538049018304302</v>
      </c>
      <c r="V127" s="24">
        <v>0</v>
      </c>
      <c r="W127" s="21">
        <f>ROUND(IF(IFERROR(PROPERTIES[[#This Row],[TE_COEFFICIENT_CALC]],0)=0,PROPERTIES[[#This Row],[TE_COEFFICIENT_MANUAL]],PROPERTIES[[#This Row],[TE_COEFFICIENT_CALC]]),3)</f>
        <v>0.20499999999999999</v>
      </c>
      <c r="X127" s="9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1">
        <v>0</v>
      </c>
      <c r="Z127" s="7">
        <v>0</v>
      </c>
      <c r="AA127" t="s">
        <v>242</v>
      </c>
      <c r="AB127" t="s">
        <v>2015</v>
      </c>
      <c r="AC127" t="s">
        <v>238</v>
      </c>
      <c r="AD127" s="2" t="s">
        <v>238</v>
      </c>
      <c r="AE127" s="2" t="s">
        <v>253</v>
      </c>
      <c r="AF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7" s="2" t="str">
        <f>SUBSTITUTE(SUBSTITUTE(PROPERTIES[[#This Row],[PURCHASECOST_VALUE]], "PURCHASECOST_", ""), "_VALUE", "")</f>
        <v>STEAMENGINE</v>
      </c>
      <c r="AI127" s="7" t="str" cm="1">
        <f t="array" ref="AI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7" s="43" t="b">
        <v>0</v>
      </c>
      <c r="AK127" s="8" t="b">
        <v>0</v>
      </c>
      <c r="BB127"/>
      <c r="BC127"/>
      <c r="BD127"/>
    </row>
    <row r="128" spans="1:56">
      <c r="A128" s="2" t="s">
        <v>2848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5" t="str">
        <f>_xlfn.XLOOKUP(PROPERTIES[[#This Row],[VEHIDCODE]],CONTROL[VEHIDCODE],CONTROL[ENGLISH])</f>
        <v>Swindon Works 381</v>
      </c>
      <c r="F128" t="s">
        <v>642</v>
      </c>
      <c r="G128" s="45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8">
        <v>41.6</v>
      </c>
      <c r="R128">
        <v>500</v>
      </c>
      <c r="S128">
        <v>65</v>
      </c>
      <c r="T128" s="25">
        <v>82.36</v>
      </c>
      <c r="U128" s="24">
        <f>IFERROR(PROPERTIES[[#This Row],[TE_STARTING_KN]]/(PROPERTIES[[#This Row],[WEIGHT]]*9.81),0)</f>
        <v>0.20181525915470866</v>
      </c>
      <c r="V128" s="24">
        <v>0</v>
      </c>
      <c r="W128" s="21">
        <f>ROUND(IF(IFERROR(PROPERTIES[[#This Row],[TE_COEFFICIENT_CALC]],0)=0,PROPERTIES[[#This Row],[TE_COEFFICIENT_MANUAL]],PROPERTIES[[#This Row],[TE_COEFFICIENT_CALC]]),3)</f>
        <v>0.20200000000000001</v>
      </c>
      <c r="X128" s="9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1">
        <v>0</v>
      </c>
      <c r="Z128" s="7">
        <v>0</v>
      </c>
      <c r="AA128" t="s">
        <v>243</v>
      </c>
      <c r="AB128" t="s">
        <v>238</v>
      </c>
      <c r="AC128" t="s">
        <v>238</v>
      </c>
      <c r="AD128" s="2" t="s">
        <v>238</v>
      </c>
      <c r="AE128" s="2" t="s">
        <v>253</v>
      </c>
      <c r="AF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8" s="2" t="str">
        <f>SUBSTITUTE(SUBSTITUTE(PROPERTIES[[#This Row],[PURCHASECOST_VALUE]], "PURCHASECOST_", ""), "_VALUE", "")</f>
        <v>STEAMENGINE</v>
      </c>
      <c r="AI128" s="7" t="str" cm="1">
        <f t="array" ref="AI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8" s="43" t="b">
        <v>0</v>
      </c>
      <c r="AK128" s="8" t="b">
        <v>0</v>
      </c>
      <c r="BB128"/>
      <c r="BC128"/>
      <c r="BD128"/>
    </row>
    <row r="129" spans="1:56">
      <c r="A129" s="2" t="s">
        <v>2849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5" t="str">
        <f>_xlfn.XLOOKUP(PROPERTIES[[#This Row],[VEHIDCODE]],CONTROL[VEHIDCODE],CONTROL[ENGLISH])</f>
        <v>North British LC R 4-6-4 Hudson</v>
      </c>
      <c r="F129" t="s">
        <v>580</v>
      </c>
      <c r="G129" s="45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8">
        <v>188.3</v>
      </c>
      <c r="R129">
        <v>2400</v>
      </c>
      <c r="S129">
        <v>130</v>
      </c>
      <c r="T129" s="25">
        <v>142.69999999999999</v>
      </c>
      <c r="U129" s="24">
        <f>IFERROR(PROPERTIES[[#This Row],[TE_STARTING_KN]]/(PROPERTIES[[#This Row],[WEIGHT]]*9.81),0)</f>
        <v>7.7251095292771896E-2</v>
      </c>
      <c r="V129" s="24">
        <v>0</v>
      </c>
      <c r="W129" s="21">
        <f>ROUND(IF(IFERROR(PROPERTIES[[#This Row],[TE_COEFFICIENT_CALC]],0)=0,PROPERTIES[[#This Row],[TE_COEFFICIENT_MANUAL]],PROPERTIES[[#This Row],[TE_COEFFICIENT_CALC]]),3)</f>
        <v>7.6999999999999999E-2</v>
      </c>
      <c r="X129" s="9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1">
        <v>0</v>
      </c>
      <c r="Z129" s="7">
        <v>5</v>
      </c>
      <c r="AA129" t="s">
        <v>241</v>
      </c>
      <c r="AB129" t="s">
        <v>238</v>
      </c>
      <c r="AC129" t="s">
        <v>238</v>
      </c>
      <c r="AD129" s="2" t="s">
        <v>238</v>
      </c>
      <c r="AE129" s="2" t="s">
        <v>253</v>
      </c>
      <c r="AF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9" s="2" t="str">
        <f>SUBSTITUTE(SUBSTITUTE(PROPERTIES[[#This Row],[PURCHASECOST_VALUE]], "PURCHASECOST_", ""), "_VALUE", "")</f>
        <v>STEAMENGINE</v>
      </c>
      <c r="AI129" s="7" t="str" cm="1">
        <f t="array" ref="AI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9" s="43" t="b">
        <v>0</v>
      </c>
      <c r="AK129" s="8" t="b">
        <v>0</v>
      </c>
      <c r="BB129"/>
      <c r="BC129"/>
      <c r="BD129"/>
    </row>
    <row r="130" spans="1:56">
      <c r="A130" s="2" t="s">
        <v>2850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5" t="str">
        <f>_xlfn.XLOOKUP(PROPERTIES[[#This Row],[VEHIDCODE]],CONTROL[VEHIDCODE],CONTROL[ENGLISH])</f>
        <v>VEB 2-10-2T 99.77-79</v>
      </c>
      <c r="F130" t="s">
        <v>623</v>
      </c>
      <c r="G130" s="45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8">
        <v>55</v>
      </c>
      <c r="R130">
        <v>592</v>
      </c>
      <c r="S130">
        <v>30</v>
      </c>
      <c r="T130" s="25">
        <v>83.35</v>
      </c>
      <c r="U130" s="24">
        <f>IFERROR(PROPERTIES[[#This Row],[TE_STARTING_KN]]/(PROPERTIES[[#This Row],[WEIGHT]]*9.81),0)</f>
        <v>0.15448058567324618</v>
      </c>
      <c r="V130" s="24">
        <v>0</v>
      </c>
      <c r="W130" s="21">
        <f>ROUND(IF(IFERROR(PROPERTIES[[#This Row],[TE_COEFFICIENT_CALC]],0)=0,PROPERTIES[[#This Row],[TE_COEFFICIENT_MANUAL]],PROPERTIES[[#This Row],[TE_COEFFICIENT_CALC]]),3)</f>
        <v>0.154</v>
      </c>
      <c r="X130" s="9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1">
        <v>0</v>
      </c>
      <c r="Z130" s="7">
        <v>0</v>
      </c>
      <c r="AA130" t="s">
        <v>239</v>
      </c>
      <c r="AB130" t="s">
        <v>238</v>
      </c>
      <c r="AC130" t="s">
        <v>238</v>
      </c>
      <c r="AD130" s="2" t="s">
        <v>238</v>
      </c>
      <c r="AE130" s="2" t="s">
        <v>253</v>
      </c>
      <c r="AF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0" s="2" t="str">
        <f>SUBSTITUTE(SUBSTITUTE(PROPERTIES[[#This Row],[PURCHASECOST_VALUE]], "PURCHASECOST_", ""), "_VALUE", "")</f>
        <v>STEAMENGINE</v>
      </c>
      <c r="AI130" s="7" t="str" cm="1">
        <f t="array" ref="AI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0" s="43" t="b">
        <v>0</v>
      </c>
      <c r="AK130" s="8" t="b">
        <v>0</v>
      </c>
      <c r="BB130"/>
      <c r="BC130"/>
      <c r="BD130"/>
    </row>
    <row r="131" spans="1:56">
      <c r="A131" s="2" t="s">
        <v>2851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5" t="str">
        <f>_xlfn.XLOOKUP(PROPERTIES[[#This Row],[VEHIDCODE]],CONTROL[VEHIDCODE],CONTROL[ENGLISH])</f>
        <v xml:space="preserve">RAW Meiningen 4-6-2 89 </v>
      </c>
      <c r="F131" t="s">
        <v>623</v>
      </c>
      <c r="G131" s="45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8">
        <v>172</v>
      </c>
      <c r="R131">
        <v>2120</v>
      </c>
      <c r="S131">
        <v>182</v>
      </c>
      <c r="T131" s="25">
        <v>0</v>
      </c>
      <c r="U131" s="24">
        <f>IFERROR(PROPERTIES[[#This Row],[TE_STARTING_KN]]/(PROPERTIES[[#This Row],[WEIGHT]]*9.81),0)</f>
        <v>0</v>
      </c>
      <c r="V131" s="24">
        <v>0.06</v>
      </c>
      <c r="W131" s="21">
        <f>ROUND(IF(IFERROR(PROPERTIES[[#This Row],[TE_COEFFICIENT_CALC]],0)=0,PROPERTIES[[#This Row],[TE_COEFFICIENT_MANUAL]],PROPERTIES[[#This Row],[TE_COEFFICIENT_CALC]]),3)</f>
        <v>0.06</v>
      </c>
      <c r="X131" s="9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1">
        <v>0</v>
      </c>
      <c r="Z131" s="7">
        <v>6</v>
      </c>
      <c r="AA131" t="s">
        <v>239</v>
      </c>
      <c r="AB131" t="s">
        <v>238</v>
      </c>
      <c r="AC131" t="s">
        <v>238</v>
      </c>
      <c r="AD131" s="2" t="s">
        <v>238</v>
      </c>
      <c r="AE131" s="2" t="s">
        <v>253</v>
      </c>
      <c r="AF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1" s="2" t="str">
        <f>SUBSTITUTE(SUBSTITUTE(PROPERTIES[[#This Row],[PURCHASECOST_VALUE]], "PURCHASECOST_", ""), "_VALUE", "")</f>
        <v>STEAMENGINE</v>
      </c>
      <c r="AI131" s="7" t="str" cm="1">
        <f t="array" ref="AI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1" s="43" t="b">
        <v>0</v>
      </c>
      <c r="AK131" s="8" t="b">
        <v>0</v>
      </c>
      <c r="BB131"/>
      <c r="BC131"/>
      <c r="BD131"/>
    </row>
    <row r="132" spans="1:56">
      <c r="A132" s="2" t="s">
        <v>2852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5" t="str">
        <f>_xlfn.XLOOKUP(PROPERTIES[[#This Row],[VEHIDCODE]],CONTROL[VEHIDCODE],CONTROL[ENGLISH])</f>
        <v>NZR 4-6-4T 'WAB'</v>
      </c>
      <c r="F132" t="s">
        <v>736</v>
      </c>
      <c r="G132" s="45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8">
        <v>74</v>
      </c>
      <c r="R132">
        <v>1000</v>
      </c>
      <c r="S132">
        <v>97</v>
      </c>
      <c r="T132" s="25">
        <v>99</v>
      </c>
      <c r="U132" s="24">
        <f>IFERROR(PROPERTIES[[#This Row],[TE_STARTING_KN]]/(PROPERTIES[[#This Row],[WEIGHT]]*9.81),0)</f>
        <v>0.13637490701710883</v>
      </c>
      <c r="V132" s="24">
        <v>0</v>
      </c>
      <c r="W132" s="21">
        <f>ROUND(IF(IFERROR(PROPERTIES[[#This Row],[TE_COEFFICIENT_CALC]],0)=0,PROPERTIES[[#This Row],[TE_COEFFICIENT_MANUAL]],PROPERTIES[[#This Row],[TE_COEFFICIENT_CALC]]),3)</f>
        <v>0.13600000000000001</v>
      </c>
      <c r="X132" s="9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1">
        <v>0</v>
      </c>
      <c r="Z132" s="7">
        <v>0</v>
      </c>
      <c r="AA132" t="s">
        <v>241</v>
      </c>
      <c r="AB132" t="s">
        <v>238</v>
      </c>
      <c r="AC132" t="s">
        <v>238</v>
      </c>
      <c r="AD132" s="2" t="s">
        <v>238</v>
      </c>
      <c r="AE132" s="2" t="s">
        <v>253</v>
      </c>
      <c r="AF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2" s="2" t="str">
        <f>SUBSTITUTE(SUBSTITUTE(PROPERTIES[[#This Row],[PURCHASECOST_VALUE]], "PURCHASECOST_", ""), "_VALUE", "")</f>
        <v>STEAMENGINE</v>
      </c>
      <c r="AI132" s="7" t="str" cm="1">
        <f t="array" ref="AI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2" s="43" t="b">
        <v>0</v>
      </c>
      <c r="AK132" s="8" t="b">
        <v>0</v>
      </c>
      <c r="BB132"/>
      <c r="BC132"/>
      <c r="BD132"/>
    </row>
    <row r="133" spans="1:56">
      <c r="A133" s="2" t="s">
        <v>2853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5" t="str">
        <f>_xlfn.XLOOKUP(PROPERTIES[[#This Row],[VEHIDCODE]],CONTROL[VEHIDCODE],CONTROL[ENGLISH])</f>
        <v>Clyde 4-8-2 'D57'</v>
      </c>
      <c r="F133" t="s">
        <v>580</v>
      </c>
      <c r="G133" s="45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8">
        <v>231</v>
      </c>
      <c r="R133">
        <v>2800</v>
      </c>
      <c r="S133">
        <v>80</v>
      </c>
      <c r="T133" s="25">
        <v>289.10000000000002</v>
      </c>
      <c r="U133" s="24">
        <f>IFERROR(PROPERTIES[[#This Row],[TE_STARTING_KN]]/(PROPERTIES[[#This Row],[WEIGHT]]*9.81),0)</f>
        <v>0.12757544867636611</v>
      </c>
      <c r="V133" s="24">
        <v>0</v>
      </c>
      <c r="W133" s="21">
        <f>ROUND(IF(IFERROR(PROPERTIES[[#This Row],[TE_COEFFICIENT_CALC]],0)=0,PROPERTIES[[#This Row],[TE_COEFFICIENT_MANUAL]],PROPERTIES[[#This Row],[TE_COEFFICIENT_CALC]]),3)</f>
        <v>0.128</v>
      </c>
      <c r="X133" s="9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1">
        <v>0</v>
      </c>
      <c r="Z133" s="7">
        <v>5</v>
      </c>
      <c r="AA133" t="s">
        <v>241</v>
      </c>
      <c r="AB133" t="s">
        <v>238</v>
      </c>
      <c r="AC133" t="s">
        <v>238</v>
      </c>
      <c r="AD133" s="2" t="s">
        <v>238</v>
      </c>
      <c r="AE133" s="2" t="s">
        <v>253</v>
      </c>
      <c r="AF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3" s="2" t="str">
        <f>SUBSTITUTE(SUBSTITUTE(PROPERTIES[[#This Row],[PURCHASECOST_VALUE]], "PURCHASECOST_", ""), "_VALUE", "")</f>
        <v>STEAMENGINE</v>
      </c>
      <c r="AI133" s="7" t="str" cm="1">
        <f t="array" ref="AI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3" s="43" t="b">
        <v>0</v>
      </c>
      <c r="AK133" s="8" t="b">
        <v>0</v>
      </c>
      <c r="BB133"/>
      <c r="BC133"/>
      <c r="BD133"/>
    </row>
    <row r="134" spans="1:56">
      <c r="A134" s="2" t="s">
        <v>2854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5" t="str">
        <f>_xlfn.XLOOKUP(PROPERTIES[[#This Row],[VEHIDCODE]],CONTROL[VEHIDCODE],CONTROL[ENGLISH])</f>
        <v>Islington Railway Workshops 81-92 520</v>
      </c>
      <c r="F134" t="s">
        <v>580</v>
      </c>
      <c r="G134" s="45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8">
        <v>200</v>
      </c>
      <c r="R134">
        <v>2600</v>
      </c>
      <c r="S134">
        <v>112</v>
      </c>
      <c r="T134" s="25">
        <v>145</v>
      </c>
      <c r="U134" s="24">
        <f>IFERROR(PROPERTIES[[#This Row],[TE_STARTING_KN]]/(PROPERTIES[[#This Row],[WEIGHT]]*9.81),0)</f>
        <v>7.3904179408766563E-2</v>
      </c>
      <c r="V134" s="24">
        <v>0</v>
      </c>
      <c r="W134" s="21">
        <f>ROUND(IF(IFERROR(PROPERTIES[[#This Row],[TE_COEFFICIENT_CALC]],0)=0,PROPERTIES[[#This Row],[TE_COEFFICIENT_MANUAL]],PROPERTIES[[#This Row],[TE_COEFFICIENT_CALC]]),3)</f>
        <v>7.3999999999999996E-2</v>
      </c>
      <c r="X134" s="9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1">
        <v>0</v>
      </c>
      <c r="Z134" s="7">
        <v>5</v>
      </c>
      <c r="AA134" t="s">
        <v>241</v>
      </c>
      <c r="AB134" t="s">
        <v>238</v>
      </c>
      <c r="AC134" t="s">
        <v>238</v>
      </c>
      <c r="AD134" s="2" t="s">
        <v>238</v>
      </c>
      <c r="AE134" s="2" t="s">
        <v>253</v>
      </c>
      <c r="AF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4" s="2" t="str">
        <f>SUBSTITUTE(SUBSTITUTE(PROPERTIES[[#This Row],[PURCHASECOST_VALUE]], "PURCHASECOST_", ""), "_VALUE", "")</f>
        <v>STEAMENGINE</v>
      </c>
      <c r="AI134" s="7" t="str" cm="1">
        <f t="array" ref="AI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4" s="43" t="b">
        <v>0</v>
      </c>
      <c r="AK134" s="8" t="b">
        <v>0</v>
      </c>
      <c r="BB134"/>
      <c r="BC134"/>
      <c r="BD134"/>
    </row>
    <row r="135" spans="1:56">
      <c r="A135" s="2" t="s">
        <v>2855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5" t="str">
        <f>_xlfn.XLOOKUP(PROPERTIES[[#This Row],[VEHIDCODE]],CONTROL[VEHIDCODE],CONTROL[ENGLISH])</f>
        <v>Beyer, P &amp; Co 4-8-4+4-8-4 7473-7497</v>
      </c>
      <c r="F135" t="s">
        <v>580</v>
      </c>
      <c r="G135" s="45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8">
        <v>259</v>
      </c>
      <c r="R135">
        <v>3500</v>
      </c>
      <c r="S135">
        <v>95</v>
      </c>
      <c r="T135" s="25">
        <f>264.9*2</f>
        <v>529.79999999999995</v>
      </c>
      <c r="U135" s="24">
        <f>IFERROR(PROPERTIES[[#This Row],[TE_STARTING_KN]]/(PROPERTIES[[#This Row],[WEIGHT]]*9.81),0)</f>
        <v>0.20851782319672227</v>
      </c>
      <c r="V135" s="24">
        <v>0</v>
      </c>
      <c r="W135" s="21">
        <f>ROUND(IF(IFERROR(PROPERTIES[[#This Row],[TE_COEFFICIENT_CALC]],0)=0,PROPERTIES[[#This Row],[TE_COEFFICIENT_MANUAL]],PROPERTIES[[#This Row],[TE_COEFFICIENT_CALC]]),3)</f>
        <v>0.20899999999999999</v>
      </c>
      <c r="X135" s="9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1">
        <v>0</v>
      </c>
      <c r="Z135" s="7">
        <v>0</v>
      </c>
      <c r="AA135" t="s">
        <v>241</v>
      </c>
      <c r="AB135" t="s">
        <v>238</v>
      </c>
      <c r="AC135" t="s">
        <v>238</v>
      </c>
      <c r="AD135" s="2" t="s">
        <v>238</v>
      </c>
      <c r="AE135" s="2" t="s">
        <v>253</v>
      </c>
      <c r="AF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5" s="2" t="str">
        <f>SUBSTITUTE(SUBSTITUTE(PROPERTIES[[#This Row],[PURCHASECOST_VALUE]], "PURCHASECOST_", ""), "_VALUE", "")</f>
        <v>STEAMENGINE</v>
      </c>
      <c r="AI135" s="7" t="str" cm="1">
        <f t="array" ref="AI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5" s="43" t="b">
        <v>0</v>
      </c>
      <c r="AK135" s="8" t="b">
        <v>0</v>
      </c>
      <c r="BB135"/>
      <c r="BC135"/>
      <c r="BD135"/>
    </row>
    <row r="136" spans="1:56">
      <c r="A136" s="2" t="s">
        <v>2856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5" t="str">
        <f>_xlfn.XLOOKUP(PROPERTIES[[#This Row],[VEHIDCODE]],CONTROL[VEHIDCODE],CONTROL[ENGLISH])</f>
        <v>AFE N1 2-6-0</v>
      </c>
      <c r="F136" t="s">
        <v>797</v>
      </c>
      <c r="G136" s="45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8">
        <v>84.5</v>
      </c>
      <c r="R136">
        <v>650</v>
      </c>
      <c r="S136">
        <v>75</v>
      </c>
      <c r="T136" s="25">
        <v>0</v>
      </c>
      <c r="U136" s="24">
        <f>IFERROR(PROPERTIES[[#This Row],[TE_STARTING_KN]]/(PROPERTIES[[#This Row],[WEIGHT]]*9.81),0)</f>
        <v>0</v>
      </c>
      <c r="V136" s="24">
        <v>0.1</v>
      </c>
      <c r="W136" s="21">
        <f>ROUND(IF(IFERROR(PROPERTIES[[#This Row],[TE_COEFFICIENT_CALC]],0)=0,PROPERTIES[[#This Row],[TE_COEFFICIENT_MANUAL]],PROPERTIES[[#This Row],[TE_COEFFICIENT_CALC]]),3)</f>
        <v>0.1</v>
      </c>
      <c r="X136" s="9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1">
        <v>0</v>
      </c>
      <c r="Z136" s="7">
        <v>3</v>
      </c>
      <c r="AA136" t="s">
        <v>246</v>
      </c>
      <c r="AB136" t="s">
        <v>238</v>
      </c>
      <c r="AC136" t="s">
        <v>238</v>
      </c>
      <c r="AD136" s="2" t="s">
        <v>238</v>
      </c>
      <c r="AE136" s="2" t="s">
        <v>253</v>
      </c>
      <c r="AF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6" s="2" t="str">
        <f>SUBSTITUTE(SUBSTITUTE(PROPERTIES[[#This Row],[PURCHASECOST_VALUE]], "PURCHASECOST_", ""), "_VALUE", "")</f>
        <v>STEAMENGINE</v>
      </c>
      <c r="AI136" s="7" t="str" cm="1">
        <f t="array" ref="AI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6" s="43" t="b">
        <v>0</v>
      </c>
      <c r="AK136" s="8" t="b">
        <v>0</v>
      </c>
      <c r="BB136"/>
      <c r="BC136"/>
      <c r="BD136"/>
    </row>
    <row r="137" spans="1:56">
      <c r="A137" s="2" t="s">
        <v>2857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5" t="str">
        <f>_xlfn.XLOOKUP(PROPERTIES[[#This Row],[VEHIDCODE]],CONTROL[VEHIDCODE],CONTROL[ENGLISH])</f>
        <v>Sir Armstrong Whithworth &amp; Co. PS11</v>
      </c>
      <c r="F137" t="s">
        <v>577</v>
      </c>
      <c r="G137" s="45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8">
        <v>203</v>
      </c>
      <c r="R137">
        <v>1500</v>
      </c>
      <c r="S137">
        <v>160</v>
      </c>
      <c r="T137" s="25">
        <v>0</v>
      </c>
      <c r="U137" s="24">
        <f>IFERROR(PROPERTIES[[#This Row],[TE_STARTING_KN]]/(PROPERTIES[[#This Row],[WEIGHT]]*9.81),0)</f>
        <v>0</v>
      </c>
      <c r="V137" s="24">
        <v>0.08</v>
      </c>
      <c r="W137" s="21">
        <f>ROUND(IF(IFERROR(PROPERTIES[[#This Row],[TE_COEFFICIENT_CALC]],0)=0,PROPERTIES[[#This Row],[TE_COEFFICIENT_MANUAL]],PROPERTIES[[#This Row],[TE_COEFFICIENT_CALC]]),3)</f>
        <v>0.08</v>
      </c>
      <c r="X137" s="9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1">
        <v>0</v>
      </c>
      <c r="Z137" s="7">
        <v>5</v>
      </c>
      <c r="AA137" t="s">
        <v>246</v>
      </c>
      <c r="AB137" t="s">
        <v>238</v>
      </c>
      <c r="AC137" t="s">
        <v>238</v>
      </c>
      <c r="AD137" s="2" t="s">
        <v>238</v>
      </c>
      <c r="AE137" s="2" t="s">
        <v>253</v>
      </c>
      <c r="AF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7" s="2" t="str">
        <f>SUBSTITUTE(SUBSTITUTE(PROPERTIES[[#This Row],[PURCHASECOST_VALUE]], "PURCHASECOST_", ""), "_VALUE", "")</f>
        <v>STEAMENGINE</v>
      </c>
      <c r="AI137" s="7" t="str" cm="1">
        <f t="array" ref="AI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7" s="43" t="b">
        <v>0</v>
      </c>
      <c r="AK137" s="8" t="b">
        <v>0</v>
      </c>
      <c r="BB137"/>
      <c r="BC137"/>
      <c r="BD137"/>
    </row>
    <row r="138" spans="1:56">
      <c r="A138" s="2" t="s">
        <v>2858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5" t="str">
        <f>_xlfn.XLOOKUP(PROPERTIES[[#This Row],[VEHIDCODE]],CONTROL[VEHIDCODE],CONTROL[ENGLISH])</f>
        <v>Alexander Chaplin &amp; Co. 1584 0-4-0VB</v>
      </c>
      <c r="F138" t="s">
        <v>810</v>
      </c>
      <c r="G138" s="45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8">
        <v>8</v>
      </c>
      <c r="R138">
        <v>40</v>
      </c>
      <c r="S138">
        <v>16</v>
      </c>
      <c r="T138" s="25">
        <v>14.6</v>
      </c>
      <c r="U138" s="24">
        <f>IFERROR(PROPERTIES[[#This Row],[TE_STARTING_KN]]/(PROPERTIES[[#This Row],[WEIGHT]]*9.81),0)</f>
        <v>0.18603465851172271</v>
      </c>
      <c r="V138" s="24">
        <v>0</v>
      </c>
      <c r="W138" s="21">
        <f>ROUND(IF(IFERROR(PROPERTIES[[#This Row],[TE_COEFFICIENT_CALC]],0)=0,PROPERTIES[[#This Row],[TE_COEFFICIENT_MANUAL]],PROPERTIES[[#This Row],[TE_COEFFICIENT_CALC]]),3)</f>
        <v>0.186</v>
      </c>
      <c r="X138" s="9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1">
        <v>0</v>
      </c>
      <c r="Z138" s="7">
        <v>0</v>
      </c>
      <c r="AA138" t="s">
        <v>242</v>
      </c>
      <c r="AB138" t="s">
        <v>238</v>
      </c>
      <c r="AC138" t="s">
        <v>238</v>
      </c>
      <c r="AD138" s="2" t="s">
        <v>238</v>
      </c>
      <c r="AE138" s="2" t="s">
        <v>253</v>
      </c>
      <c r="AF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8" s="2" t="str">
        <f>SUBSTITUTE(SUBSTITUTE(PROPERTIES[[#This Row],[PURCHASECOST_VALUE]], "PURCHASECOST_", ""), "_VALUE", "")</f>
        <v>STEAMENGINE</v>
      </c>
      <c r="AI138" s="7" t="str" cm="1">
        <f t="array" ref="AI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8" s="43" t="b">
        <v>0</v>
      </c>
      <c r="AK138" s="8" t="b">
        <v>0</v>
      </c>
      <c r="BB138"/>
      <c r="BC138"/>
      <c r="BD138"/>
    </row>
    <row r="139" spans="1:56">
      <c r="A139" s="2" t="s">
        <v>2859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5" t="str">
        <f>_xlfn.XLOOKUP(PROPERTIES[[#This Row],[VEHIDCODE]],CONTROL[VEHIDCODE],CONTROL[ENGLISH])</f>
        <v>Falcon Engine and Car Works F2</v>
      </c>
      <c r="F139" t="s">
        <v>724</v>
      </c>
      <c r="G139" s="45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8">
        <v>20</v>
      </c>
      <c r="R139">
        <v>120</v>
      </c>
      <c r="S139">
        <v>30</v>
      </c>
      <c r="T139" s="25">
        <v>13</v>
      </c>
      <c r="U139" s="24">
        <f>IFERROR(PROPERTIES[[#This Row],[TE_STARTING_KN]]/(PROPERTIES[[#This Row],[WEIGHT]]*9.81),0)</f>
        <v>6.6258919469928637E-2</v>
      </c>
      <c r="V139" s="24">
        <v>0</v>
      </c>
      <c r="W139" s="21">
        <f>ROUND(IF(IFERROR(PROPERTIES[[#This Row],[TE_COEFFICIENT_CALC]],0)=0,PROPERTIES[[#This Row],[TE_COEFFICIENT_MANUAL]],PROPERTIES[[#This Row],[TE_COEFFICIENT_CALC]]),3)</f>
        <v>6.6000000000000003E-2</v>
      </c>
      <c r="X139" s="9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1">
        <v>0</v>
      </c>
      <c r="Z139" s="7">
        <v>3</v>
      </c>
      <c r="AA139" t="s">
        <v>242</v>
      </c>
      <c r="AB139" t="s">
        <v>238</v>
      </c>
      <c r="AC139" t="s">
        <v>238</v>
      </c>
      <c r="AD139" s="2" t="s">
        <v>238</v>
      </c>
      <c r="AE139" s="2" t="s">
        <v>253</v>
      </c>
      <c r="AF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9" s="2" t="str">
        <f>SUBSTITUTE(SUBSTITUTE(PROPERTIES[[#This Row],[PURCHASECOST_VALUE]], "PURCHASECOST_", ""), "_VALUE", "")</f>
        <v>STEAMENGINE</v>
      </c>
      <c r="AI139" s="7" t="str" cm="1">
        <f t="array" ref="AI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9" s="43" t="b">
        <v>0</v>
      </c>
      <c r="AK139" s="8" t="b">
        <v>0</v>
      </c>
      <c r="BB139"/>
      <c r="BC139"/>
      <c r="BD139"/>
    </row>
    <row r="140" spans="1:56">
      <c r="A140" s="2" t="s">
        <v>2860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5" t="str">
        <f>_xlfn.XLOOKUP(PROPERTIES[[#This Row],[VEHIDCODE]],CONTROL[VEHIDCODE],CONTROL[ENGLISH])</f>
        <v>Ansaldo R.440 'Mallet'</v>
      </c>
      <c r="F140" t="s">
        <v>633</v>
      </c>
      <c r="G140" s="45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8">
        <v>35</v>
      </c>
      <c r="R140">
        <v>250</v>
      </c>
      <c r="S140">
        <v>40</v>
      </c>
      <c r="T140" s="25">
        <v>48</v>
      </c>
      <c r="U140" s="24">
        <f>IFERROR(PROPERTIES[[#This Row],[TE_STARTING_KN]]/(PROPERTIES[[#This Row],[WEIGHT]]*9.81),0)</f>
        <v>0.13979903888160769</v>
      </c>
      <c r="V140" s="24">
        <v>0</v>
      </c>
      <c r="W140" s="21">
        <f>ROUND(IF(IFERROR(PROPERTIES[[#This Row],[TE_COEFFICIENT_CALC]],0)=0,PROPERTIES[[#This Row],[TE_COEFFICIENT_MANUAL]],PROPERTIES[[#This Row],[TE_COEFFICIENT_CALC]]),3)</f>
        <v>0.14000000000000001</v>
      </c>
      <c r="X140" s="9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1">
        <v>0</v>
      </c>
      <c r="Z140" s="7">
        <v>0</v>
      </c>
      <c r="AA140" t="s">
        <v>242</v>
      </c>
      <c r="AB140" t="s">
        <v>238</v>
      </c>
      <c r="AC140" t="s">
        <v>238</v>
      </c>
      <c r="AD140" s="2" t="s">
        <v>238</v>
      </c>
      <c r="AE140" s="2" t="s">
        <v>253</v>
      </c>
      <c r="AF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0" s="2" t="str">
        <f>SUBSTITUTE(SUBSTITUTE(PROPERTIES[[#This Row],[PURCHASECOST_VALUE]], "PURCHASECOST_", ""), "_VALUE", "")</f>
        <v>STEAMENGINE</v>
      </c>
      <c r="AI140" s="7" t="str" cm="1">
        <f t="array" ref="AI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0" s="43" t="b">
        <v>0</v>
      </c>
      <c r="AK140" s="8" t="b">
        <v>0</v>
      </c>
      <c r="BB140"/>
      <c r="BC140"/>
      <c r="BD140"/>
    </row>
    <row r="141" spans="1:56">
      <c r="A141" s="2" t="s">
        <v>2861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5" t="str">
        <f>_xlfn.XLOOKUP(PROPERTIES[[#This Row],[VEHIDCODE]],CONTROL[VEHIDCODE],CONTROL[ENGLISH])</f>
        <v>Beyer, P &amp; Co. 4-8-0 6128-6133</v>
      </c>
      <c r="F141" t="s">
        <v>680</v>
      </c>
      <c r="G141" s="45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8">
        <v>108</v>
      </c>
      <c r="R141">
        <v>1100</v>
      </c>
      <c r="S141">
        <v>75</v>
      </c>
      <c r="T141" s="25">
        <v>108.49</v>
      </c>
      <c r="U141" s="24">
        <f>IFERROR(PROPERTIES[[#This Row],[TE_STARTING_KN]]/(PROPERTIES[[#This Row],[WEIGHT]]*9.81),0)</f>
        <v>0.10239929021784271</v>
      </c>
      <c r="V141" s="24">
        <v>0</v>
      </c>
      <c r="W141" s="21">
        <f>ROUND(IF(IFERROR(PROPERTIES[[#This Row],[TE_COEFFICIENT_CALC]],0)=0,PROPERTIES[[#This Row],[TE_COEFFICIENT_MANUAL]],PROPERTIES[[#This Row],[TE_COEFFICIENT_CALC]]),3)</f>
        <v>0.10199999999999999</v>
      </c>
      <c r="X141" s="9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1">
        <v>0</v>
      </c>
      <c r="Z141" s="7">
        <v>3</v>
      </c>
      <c r="AA141" t="s">
        <v>242</v>
      </c>
      <c r="AB141" t="s">
        <v>238</v>
      </c>
      <c r="AC141" t="s">
        <v>238</v>
      </c>
      <c r="AD141" s="2" t="s">
        <v>238</v>
      </c>
      <c r="AE141" s="2" t="s">
        <v>253</v>
      </c>
      <c r="AF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1" s="2" t="str">
        <f>SUBSTITUTE(SUBSTITUTE(PROPERTIES[[#This Row],[PURCHASECOST_VALUE]], "PURCHASECOST_", ""), "_VALUE", "")</f>
        <v>STEAMENGINE</v>
      </c>
      <c r="AI141" s="7" t="str" cm="1">
        <f t="array" ref="AI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1" s="43" t="b">
        <v>0</v>
      </c>
      <c r="AK141" s="8" t="b">
        <v>0</v>
      </c>
      <c r="BB141"/>
      <c r="BC141"/>
      <c r="BD141"/>
    </row>
    <row r="142" spans="1:56">
      <c r="A142" s="2" t="s">
        <v>2862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5" t="str">
        <f>_xlfn.XLOOKUP(PROPERTIES[[#This Row],[VEHIDCODE]],CONTROL[VEHIDCODE],CONTROL[ENGLISH])</f>
        <v>Vulcan Foundry 4-8-2 4318-4320</v>
      </c>
      <c r="F142" t="s">
        <v>680</v>
      </c>
      <c r="G142" s="45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8">
        <v>94.2</v>
      </c>
      <c r="R142">
        <v>900</v>
      </c>
      <c r="S142">
        <v>65</v>
      </c>
      <c r="T142" s="25">
        <v>108.09</v>
      </c>
      <c r="U142" s="24">
        <f>IFERROR(PROPERTIES[[#This Row],[TE_STARTING_KN]]/(PROPERTIES[[#This Row],[WEIGHT]]*9.81),0)</f>
        <v>0.11696760747190245</v>
      </c>
      <c r="V142" s="24">
        <v>0</v>
      </c>
      <c r="W142" s="21">
        <f>ROUND(IF(IFERROR(PROPERTIES[[#This Row],[TE_COEFFICIENT_CALC]],0)=0,PROPERTIES[[#This Row],[TE_COEFFICIENT_MANUAL]],PROPERTIES[[#This Row],[TE_COEFFICIENT_CALC]]),3)</f>
        <v>0.11700000000000001</v>
      </c>
      <c r="X142" s="9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1">
        <v>0</v>
      </c>
      <c r="Z142" s="7">
        <v>3</v>
      </c>
      <c r="AA142" t="s">
        <v>242</v>
      </c>
      <c r="AB142" t="s">
        <v>238</v>
      </c>
      <c r="AC142" t="s">
        <v>238</v>
      </c>
      <c r="AD142" s="2" t="s">
        <v>238</v>
      </c>
      <c r="AE142" s="2" t="s">
        <v>253</v>
      </c>
      <c r="AF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2" s="2" t="str">
        <f>SUBSTITUTE(SUBSTITUTE(PROPERTIES[[#This Row],[PURCHASECOST_VALUE]], "PURCHASECOST_", ""), "_VALUE", "")</f>
        <v>STEAMENGINE</v>
      </c>
      <c r="AI142" s="7" t="str" cm="1">
        <f t="array" ref="AI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2" s="43" t="b">
        <v>0</v>
      </c>
      <c r="AK142" s="8" t="b">
        <v>0</v>
      </c>
      <c r="BB142"/>
      <c r="BC142"/>
      <c r="BD142"/>
    </row>
    <row r="143" spans="1:56">
      <c r="A143" s="2" t="s">
        <v>2863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5" t="str">
        <f>_xlfn.XLOOKUP(PROPERTIES[[#This Row],[VEHIDCODE]],CONTROL[VEHIDCODE],CONTROL[ENGLISH])</f>
        <v>Beyer, P &amp; Co. 4-6-4+4-6-4 '15th'</v>
      </c>
      <c r="F143" t="s">
        <v>812</v>
      </c>
      <c r="G143" s="45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8">
        <v>179.5</v>
      </c>
      <c r="R143">
        <v>1600</v>
      </c>
      <c r="S143">
        <v>100</v>
      </c>
      <c r="T143" s="25">
        <v>190.1</v>
      </c>
      <c r="U143" s="24">
        <f>IFERROR(PROPERTIES[[#This Row],[TE_STARTING_KN]]/(PROPERTIES[[#This Row],[WEIGHT]]*9.81),0)</f>
        <v>0.10795646532019229</v>
      </c>
      <c r="V143" s="24">
        <v>0</v>
      </c>
      <c r="W143" s="21">
        <f>ROUND(IF(IFERROR(PROPERTIES[[#This Row],[TE_COEFFICIENT_CALC]],0)=0,PROPERTIES[[#This Row],[TE_COEFFICIENT_MANUAL]],PROPERTIES[[#This Row],[TE_COEFFICIENT_CALC]]),3)</f>
        <v>0.108</v>
      </c>
      <c r="X143" s="9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1">
        <v>0</v>
      </c>
      <c r="Z143" s="7">
        <v>0</v>
      </c>
      <c r="AA143" t="s">
        <v>242</v>
      </c>
      <c r="AB143" t="s">
        <v>238</v>
      </c>
      <c r="AC143" t="s">
        <v>238</v>
      </c>
      <c r="AD143" s="2" t="s">
        <v>238</v>
      </c>
      <c r="AE143" s="2" t="s">
        <v>253</v>
      </c>
      <c r="AF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3" s="2" t="str">
        <f>SUBSTITUTE(SUBSTITUTE(PROPERTIES[[#This Row],[PURCHASECOST_VALUE]], "PURCHASECOST_", ""), "_VALUE", "")</f>
        <v>STEAMENGINE</v>
      </c>
      <c r="AI143" s="7" t="str" cm="1">
        <f t="array" ref="AI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3" s="43" t="b">
        <v>0</v>
      </c>
      <c r="AK143" s="8" t="b">
        <v>0</v>
      </c>
      <c r="BB143"/>
      <c r="BC143"/>
      <c r="BD143"/>
    </row>
    <row r="144" spans="1:56">
      <c r="A144" s="2" t="s">
        <v>2864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5" t="str">
        <f>_xlfn.XLOOKUP(PROPERTIES[[#This Row],[VEHIDCODE]],CONTROL[VEHIDCODE],CONTROL[ENGLISH])</f>
        <v>Beyer, P &amp; Co. 4-8-2+2-8-4 7550-7552</v>
      </c>
      <c r="F144" t="s">
        <v>810</v>
      </c>
      <c r="G144" s="45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8">
        <v>241.3</v>
      </c>
      <c r="R144">
        <v>2500</v>
      </c>
      <c r="S144">
        <v>85</v>
      </c>
      <c r="T144" s="25">
        <v>430</v>
      </c>
      <c r="U144" s="24">
        <f>IFERROR(PROPERTIES[[#This Row],[TE_STARTING_KN]]/(PROPERTIES[[#This Row],[WEIGHT]]*9.81),0)</f>
        <v>0.1816528124713527</v>
      </c>
      <c r="V144" s="24">
        <v>0</v>
      </c>
      <c r="W144" s="21">
        <f>ROUND(IF(IFERROR(PROPERTIES[[#This Row],[TE_COEFFICIENT_CALC]],0)=0,PROPERTIES[[#This Row],[TE_COEFFICIENT_MANUAL]],PROPERTIES[[#This Row],[TE_COEFFICIENT_CALC]]),3)</f>
        <v>0.182</v>
      </c>
      <c r="X144" s="9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1">
        <v>0</v>
      </c>
      <c r="Z144" s="7">
        <v>4</v>
      </c>
      <c r="AA144" t="s">
        <v>242</v>
      </c>
      <c r="AB144" t="s">
        <v>238</v>
      </c>
      <c r="AC144" t="s">
        <v>238</v>
      </c>
      <c r="AD144" s="2" t="s">
        <v>238</v>
      </c>
      <c r="AE144" s="2" t="s">
        <v>253</v>
      </c>
      <c r="AF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4" s="2" t="str">
        <f>SUBSTITUTE(SUBSTITUTE(PROPERTIES[[#This Row],[PURCHASECOST_VALUE]], "PURCHASECOST_", ""), "_VALUE", "")</f>
        <v>STEAMENGINE</v>
      </c>
      <c r="AI144" s="7" t="str" cm="1">
        <f t="array" ref="AI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4" s="43" t="b">
        <v>0</v>
      </c>
      <c r="AK144" s="8" t="b">
        <v>0</v>
      </c>
      <c r="BB144"/>
      <c r="BC144"/>
      <c r="BD144"/>
    </row>
    <row r="145" spans="1:56">
      <c r="A145" s="2" t="s">
        <v>2865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5" t="str">
        <f>_xlfn.XLOOKUP(PROPERTIES[[#This Row],[VEHIDCODE]],CONTROL[VEHIDCODE],CONTROL[ENGLISH])</f>
        <v>Vulcan Foundry 2-8-4 6228</v>
      </c>
      <c r="F145" t="s">
        <v>680</v>
      </c>
      <c r="G145" s="45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8">
        <v>135.19999999999999</v>
      </c>
      <c r="R145">
        <v>1650</v>
      </c>
      <c r="S145">
        <v>95</v>
      </c>
      <c r="T145" s="25">
        <v>118.32</v>
      </c>
      <c r="U145" s="24">
        <f>IFERROR(PROPERTIES[[#This Row],[TE_STARTING_KN]]/(PROPERTIES[[#This Row],[WEIGHT]]*9.81),0)</f>
        <v>8.9209778694605793E-2</v>
      </c>
      <c r="V145" s="24">
        <v>0</v>
      </c>
      <c r="W145" s="21">
        <f>ROUND(IF(IFERROR(PROPERTIES[[#This Row],[TE_COEFFICIENT_CALC]],0)=0,PROPERTIES[[#This Row],[TE_COEFFICIENT_MANUAL]],PROPERTIES[[#This Row],[TE_COEFFICIENT_CALC]]),3)</f>
        <v>8.8999999999999996E-2</v>
      </c>
      <c r="X145" s="9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1">
        <v>0</v>
      </c>
      <c r="Z145" s="7">
        <v>4</v>
      </c>
      <c r="AA145" t="s">
        <v>242</v>
      </c>
      <c r="AB145" t="s">
        <v>238</v>
      </c>
      <c r="AC145" t="s">
        <v>238</v>
      </c>
      <c r="AD145" s="2" t="s">
        <v>238</v>
      </c>
      <c r="AE145" s="2" t="s">
        <v>253</v>
      </c>
      <c r="AF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5" s="2" t="str">
        <f>SUBSTITUTE(SUBSTITUTE(PROPERTIES[[#This Row],[PURCHASECOST_VALUE]], "PURCHASECOST_", ""), "_VALUE", "")</f>
        <v>STEAMENGINE</v>
      </c>
      <c r="AI145" s="7" t="str" cm="1">
        <f t="array" ref="AI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5" s="43" t="b">
        <v>0</v>
      </c>
      <c r="AK145" s="8" t="b">
        <v>0</v>
      </c>
      <c r="BB145"/>
      <c r="BC145"/>
      <c r="BD145"/>
    </row>
    <row r="146" spans="1:56">
      <c r="A146" s="2" t="s">
        <v>2866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5" t="str">
        <f>_xlfn.XLOOKUP(PROPERTIES[[#This Row],[VEHIDCODE]],CONTROL[VEHIDCODE],CONTROL[ENGLISH])</f>
        <v>Kitson 2-2-2WT 481 'Fairy Queen'</v>
      </c>
      <c r="F146" t="s">
        <v>670</v>
      </c>
      <c r="G146" s="45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8">
        <v>28</v>
      </c>
      <c r="R146">
        <v>130</v>
      </c>
      <c r="S146">
        <v>40</v>
      </c>
      <c r="T146" s="25">
        <v>20</v>
      </c>
      <c r="U146" s="24">
        <f>IFERROR(PROPERTIES[[#This Row],[TE_STARTING_KN]]/(PROPERTIES[[#This Row],[WEIGHT]]*9.81),0)</f>
        <v>7.2811999417504006E-2</v>
      </c>
      <c r="V146" s="24">
        <v>0</v>
      </c>
      <c r="W146" s="21">
        <f>ROUND(IF(IFERROR(PROPERTIES[[#This Row],[TE_COEFFICIENT_CALC]],0)=0,PROPERTIES[[#This Row],[TE_COEFFICIENT_MANUAL]],PROPERTIES[[#This Row],[TE_COEFFICIENT_CALC]]),3)</f>
        <v>7.2999999999999995E-2</v>
      </c>
      <c r="X146" s="9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1">
        <v>0</v>
      </c>
      <c r="Z146" s="7">
        <v>0</v>
      </c>
      <c r="AA146" t="s">
        <v>247</v>
      </c>
      <c r="AB146" t="s">
        <v>238</v>
      </c>
      <c r="AC146" t="s">
        <v>238</v>
      </c>
      <c r="AD146" s="2" t="s">
        <v>238</v>
      </c>
      <c r="AE146" s="2" t="s">
        <v>253</v>
      </c>
      <c r="AF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6" s="2" t="str">
        <f>SUBSTITUTE(SUBSTITUTE(PROPERTIES[[#This Row],[PURCHASECOST_VALUE]], "PURCHASECOST_", ""), "_VALUE", "")</f>
        <v>STEAMENGINE</v>
      </c>
      <c r="AI146" s="7" t="str" cm="1">
        <f t="array" ref="AI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6" s="43" t="b">
        <v>0</v>
      </c>
      <c r="AK146" s="8" t="b">
        <v>0</v>
      </c>
      <c r="BB146"/>
      <c r="BC146"/>
      <c r="BD146"/>
    </row>
    <row r="147" spans="1:56">
      <c r="A147" s="2" t="s">
        <v>2867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5" t="str">
        <f>_xlfn.XLOOKUP(PROPERTIES[[#This Row],[VEHIDCODE]],CONTROL[VEHIDCODE],CONTROL[ENGLISH])</f>
        <v>Sharp, Stewart &amp; Co 0-4-0ST DHR B</v>
      </c>
      <c r="F147" t="s">
        <v>670</v>
      </c>
      <c r="G147" s="45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8">
        <v>14.2</v>
      </c>
      <c r="R147">
        <v>100</v>
      </c>
      <c r="S147">
        <v>25</v>
      </c>
      <c r="T147" s="25">
        <v>34.47</v>
      </c>
      <c r="U147" s="24">
        <f>IFERROR(PROPERTIES[[#This Row],[TE_STARTING_KN]]/(PROPERTIES[[#This Row],[WEIGHT]]*9.81),0)</f>
        <v>0.24744799069647241</v>
      </c>
      <c r="V147" s="24">
        <v>0</v>
      </c>
      <c r="W147" s="21">
        <f>ROUND(IF(IFERROR(PROPERTIES[[#This Row],[TE_COEFFICIENT_CALC]],0)=0,PROPERTIES[[#This Row],[TE_COEFFICIENT_MANUAL]],PROPERTIES[[#This Row],[TE_COEFFICIENT_CALC]]),3)</f>
        <v>0.247</v>
      </c>
      <c r="X147" s="9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1">
        <v>0</v>
      </c>
      <c r="Z147" s="7">
        <v>2</v>
      </c>
      <c r="AA147" t="s">
        <v>247</v>
      </c>
      <c r="AB147" t="s">
        <v>238</v>
      </c>
      <c r="AC147" t="s">
        <v>238</v>
      </c>
      <c r="AD147" s="2" t="s">
        <v>238</v>
      </c>
      <c r="AE147" s="2" t="s">
        <v>253</v>
      </c>
      <c r="AF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7" s="2" t="str">
        <f>SUBSTITUTE(SUBSTITUTE(PROPERTIES[[#This Row],[PURCHASECOST_VALUE]], "PURCHASECOST_", ""), "_VALUE", "")</f>
        <v>STEAMENGINE</v>
      </c>
      <c r="AI147" s="7" t="str" cm="1">
        <f t="array" ref="AI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7" s="43" t="b">
        <v>0</v>
      </c>
      <c r="AK147" s="8" t="b">
        <v>0</v>
      </c>
      <c r="BB147"/>
      <c r="BC147"/>
      <c r="BD147"/>
    </row>
    <row r="148" spans="1:56">
      <c r="A148" s="2" t="s">
        <v>2868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5" t="str">
        <f>_xlfn.XLOOKUP(PROPERTIES[[#This Row],[VEHIDCODE]],CONTROL[VEHIDCODE],CONTROL[ENGLISH])</f>
        <v>Baldwin 2-8-0 Sentetsu Sorii</v>
      </c>
      <c r="F148" t="s">
        <v>614</v>
      </c>
      <c r="G148" s="45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8">
        <v>102.5</v>
      </c>
      <c r="R148">
        <v>850</v>
      </c>
      <c r="S148">
        <v>70</v>
      </c>
      <c r="T148" s="25">
        <v>130</v>
      </c>
      <c r="U148" s="24">
        <f>IFERROR(PROPERTIES[[#This Row],[TE_STARTING_KN]]/(PROPERTIES[[#This Row],[WEIGHT]]*9.81),0)</f>
        <v>0.12928569652669003</v>
      </c>
      <c r="V148" s="24">
        <v>0</v>
      </c>
      <c r="W148" s="21">
        <f>ROUND(IF(IFERROR(PROPERTIES[[#This Row],[TE_COEFFICIENT_CALC]],0)=0,PROPERTIES[[#This Row],[TE_COEFFICIENT_MANUAL]],PROPERTIES[[#This Row],[TE_COEFFICIENT_CALC]]),3)</f>
        <v>0.129</v>
      </c>
      <c r="X148" s="9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1">
        <v>0</v>
      </c>
      <c r="Z148" s="7">
        <v>3</v>
      </c>
      <c r="AA148" t="s">
        <v>247</v>
      </c>
      <c r="AB148" t="s">
        <v>238</v>
      </c>
      <c r="AC148" t="s">
        <v>238</v>
      </c>
      <c r="AD148" s="2" t="s">
        <v>238</v>
      </c>
      <c r="AE148" s="2" t="s">
        <v>253</v>
      </c>
      <c r="AF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8" s="2" t="str">
        <f>SUBSTITUTE(SUBSTITUTE(PROPERTIES[[#This Row],[PURCHASECOST_VALUE]], "PURCHASECOST_", ""), "_VALUE", "")</f>
        <v>STEAMENGINE</v>
      </c>
      <c r="AI148" s="7" t="str" cm="1">
        <f t="array" ref="AI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8" s="43" t="b">
        <v>0</v>
      </c>
      <c r="AK148" s="8" t="b">
        <v>0</v>
      </c>
      <c r="BB148"/>
      <c r="BC148"/>
      <c r="BD148"/>
    </row>
    <row r="149" spans="1:56">
      <c r="A149" s="2" t="s">
        <v>2869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5" t="str">
        <f>_xlfn.XLOOKUP(PROPERTIES[[#This Row],[VEHIDCODE]],CONTROL[VEHIDCODE],CONTROL[ENGLISH])</f>
        <v>Putilov 4-6-0 U</v>
      </c>
      <c r="F149" t="s">
        <v>755</v>
      </c>
      <c r="G149" s="45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8">
        <v>126.5</v>
      </c>
      <c r="R149">
        <v>1200</v>
      </c>
      <c r="S149">
        <v>115</v>
      </c>
      <c r="T149" s="25">
        <v>87</v>
      </c>
      <c r="U149" s="24">
        <f>IFERROR(PROPERTIES[[#This Row],[TE_STARTING_KN]]/(PROPERTIES[[#This Row],[WEIGHT]]*9.81),0)</f>
        <v>7.0106731454956411E-2</v>
      </c>
      <c r="V149" s="24">
        <v>0</v>
      </c>
      <c r="W149" s="21">
        <f>ROUND(IF(IFERROR(PROPERTIES[[#This Row],[TE_COEFFICIENT_CALC]],0)=0,PROPERTIES[[#This Row],[TE_COEFFICIENT_MANUAL]],PROPERTIES[[#This Row],[TE_COEFFICIENT_CALC]]),3)</f>
        <v>7.0000000000000007E-2</v>
      </c>
      <c r="X149" s="9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1">
        <v>0</v>
      </c>
      <c r="Z149" s="7">
        <v>3</v>
      </c>
      <c r="AA149" t="s">
        <v>2016</v>
      </c>
      <c r="AB149" t="s">
        <v>238</v>
      </c>
      <c r="AC149" t="s">
        <v>238</v>
      </c>
      <c r="AD149" s="2" t="s">
        <v>238</v>
      </c>
      <c r="AE149" s="2" t="s">
        <v>253</v>
      </c>
      <c r="AF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9" s="2" t="str">
        <f>SUBSTITUTE(SUBSTITUTE(PROPERTIES[[#This Row],[PURCHASECOST_VALUE]], "PURCHASECOST_", ""), "_VALUE", "")</f>
        <v>STEAMENGINE</v>
      </c>
      <c r="AI149" s="7" t="str" cm="1">
        <f t="array" ref="AI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49" s="43" t="b">
        <v>0</v>
      </c>
      <c r="AK149" s="8" t="b">
        <v>0</v>
      </c>
      <c r="BB149"/>
      <c r="BC149"/>
      <c r="BD149"/>
    </row>
    <row r="150" spans="1:56">
      <c r="A150" s="2" t="s">
        <v>2870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5" t="str">
        <f>_xlfn.XLOOKUP(PROPERTIES[[#This Row],[VEHIDCODE]],CONTROL[VEHIDCODE],CONTROL[ENGLISH])</f>
        <v>Baldwin 12-44 F 2-10-0 'Ye'</v>
      </c>
      <c r="F150" t="s">
        <v>755</v>
      </c>
      <c r="G150" s="45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8">
        <v>155</v>
      </c>
      <c r="R150">
        <v>1600</v>
      </c>
      <c r="S150">
        <v>89</v>
      </c>
      <c r="T150" s="25">
        <v>229.08</v>
      </c>
      <c r="U150" s="24">
        <f>IFERROR(PROPERTIES[[#This Row],[TE_STARTING_KN]]/(PROPERTIES[[#This Row],[WEIGHT]]*9.81),0)</f>
        <v>0.15065601262700995</v>
      </c>
      <c r="V150" s="24">
        <v>0</v>
      </c>
      <c r="W150" s="21">
        <f>ROUND(IF(IFERROR(PROPERTIES[[#This Row],[TE_COEFFICIENT_CALC]],0)=0,PROPERTIES[[#This Row],[TE_COEFFICIENT_MANUAL]],PROPERTIES[[#This Row],[TE_COEFFICIENT_CALC]]),3)</f>
        <v>0.151</v>
      </c>
      <c r="X150" s="9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1">
        <v>0</v>
      </c>
      <c r="Z150" s="7">
        <v>3</v>
      </c>
      <c r="AA150" t="s">
        <v>2016</v>
      </c>
      <c r="AB150" t="s">
        <v>238</v>
      </c>
      <c r="AC150" t="s">
        <v>238</v>
      </c>
      <c r="AD150" s="2" t="s">
        <v>238</v>
      </c>
      <c r="AE150" s="2" t="s">
        <v>253</v>
      </c>
      <c r="AF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0" s="2" t="str">
        <f>SUBSTITUTE(SUBSTITUTE(PROPERTIES[[#This Row],[PURCHASECOST_VALUE]], "PURCHASECOST_", ""), "_VALUE", "")</f>
        <v>STEAMENGINE</v>
      </c>
      <c r="AI150" s="7" t="str" cm="1">
        <f t="array" ref="AI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0" s="43" t="b">
        <v>0</v>
      </c>
      <c r="AK150" s="8" t="b">
        <v>0</v>
      </c>
      <c r="BB150"/>
      <c r="BC150"/>
      <c r="BD150"/>
    </row>
    <row r="151" spans="1:56">
      <c r="A151" s="2" t="s">
        <v>2871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5" t="str">
        <f>_xlfn.XLOOKUP(PROPERTIES[[#This Row],[VEHIDCODE]],CONTROL[VEHIDCODE],CONTROL[ENGLISH])</f>
        <v>Baldwin 4-6-0 50201</v>
      </c>
      <c r="F151" t="s">
        <v>668</v>
      </c>
      <c r="G151" s="45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8">
        <v>119</v>
      </c>
      <c r="R151">
        <v>1050</v>
      </c>
      <c r="S151">
        <v>85</v>
      </c>
      <c r="T151" s="25">
        <v>108.9</v>
      </c>
      <c r="U151" s="24">
        <f>IFERROR(PROPERTIES[[#This Row],[TE_STARTING_KN]]/(PROPERTIES[[#This Row],[WEIGHT]]*9.81),0)</f>
        <v>9.3285020430190421E-2</v>
      </c>
      <c r="V151" s="24">
        <v>0</v>
      </c>
      <c r="W151" s="21">
        <f>ROUND(IF(IFERROR(PROPERTIES[[#This Row],[TE_COEFFICIENT_CALC]],0)=0,PROPERTIES[[#This Row],[TE_COEFFICIENT_MANUAL]],PROPERTIES[[#This Row],[TE_COEFFICIENT_CALC]]),3)</f>
        <v>9.2999999999999999E-2</v>
      </c>
      <c r="X151" s="9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1">
        <v>0</v>
      </c>
      <c r="Z151" s="7">
        <v>3</v>
      </c>
      <c r="AA151" t="s">
        <v>247</v>
      </c>
      <c r="AB151" t="s">
        <v>238</v>
      </c>
      <c r="AC151" t="s">
        <v>238</v>
      </c>
      <c r="AD151" s="2" t="s">
        <v>238</v>
      </c>
      <c r="AE151" s="2" t="s">
        <v>253</v>
      </c>
      <c r="AF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1" s="2" t="str">
        <f>SUBSTITUTE(SUBSTITUTE(PROPERTIES[[#This Row],[PURCHASECOST_VALUE]], "PURCHASECOST_", ""), "_VALUE", "")</f>
        <v>STEAMENGINE</v>
      </c>
      <c r="AI151" s="7" t="str" cm="1">
        <f t="array" ref="AI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1" s="43" t="b">
        <v>0</v>
      </c>
      <c r="AK151" s="8" t="b">
        <v>0</v>
      </c>
      <c r="BB151"/>
      <c r="BC151"/>
      <c r="BD151"/>
    </row>
    <row r="152" spans="1:56">
      <c r="A152" s="2" t="s">
        <v>2872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5" t="str">
        <f>_xlfn.XLOOKUP(PROPERTIES[[#This Row],[VEHIDCODE]],CONTROL[VEHIDCODE],CONTROL[ENGLISH])</f>
        <v>FS 480</v>
      </c>
      <c r="F152" t="s">
        <v>675</v>
      </c>
      <c r="G152" s="45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8">
        <v>128.80000000000001</v>
      </c>
      <c r="R152">
        <v>1500</v>
      </c>
      <c r="S152">
        <v>70</v>
      </c>
      <c r="T152" s="25">
        <v>177.4</v>
      </c>
      <c r="U152" s="24">
        <f>IFERROR(PROPERTIES[[#This Row],[TE_STARTING_KN]]/(PROPERTIES[[#This Row],[WEIGHT]]*9.81),0)</f>
        <v>0.14040052931157834</v>
      </c>
      <c r="V152" s="24">
        <v>0</v>
      </c>
      <c r="W152" s="21">
        <f>ROUND(IF(IFERROR(PROPERTIES[[#This Row],[TE_COEFFICIENT_CALC]],0)=0,PROPERTIES[[#This Row],[TE_COEFFICIENT_MANUAL]],PROPERTIES[[#This Row],[TE_COEFFICIENT_CALC]]),3)</f>
        <v>0.14000000000000001</v>
      </c>
      <c r="X152" s="9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1">
        <v>0</v>
      </c>
      <c r="Z152" s="7">
        <v>4</v>
      </c>
      <c r="AA152" t="s">
        <v>240</v>
      </c>
      <c r="AB152" t="s">
        <v>238</v>
      </c>
      <c r="AC152" t="s">
        <v>238</v>
      </c>
      <c r="AD152" s="2" t="s">
        <v>238</v>
      </c>
      <c r="AE152" s="2" t="s">
        <v>253</v>
      </c>
      <c r="AF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2" s="2" t="str">
        <f>SUBSTITUTE(SUBSTITUTE(PROPERTIES[[#This Row],[PURCHASECOST_VALUE]], "PURCHASECOST_", ""), "_VALUE", "")</f>
        <v>STEAMENGINE</v>
      </c>
      <c r="AI152" s="7" t="str" cm="1">
        <f t="array" ref="AI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2" s="43" t="b">
        <v>0</v>
      </c>
      <c r="AK152" s="8" t="b">
        <v>0</v>
      </c>
      <c r="BB152"/>
      <c r="BC152"/>
      <c r="BD152"/>
    </row>
    <row r="153" spans="1:56">
      <c r="A153" s="2" t="s">
        <v>2873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5" t="str">
        <f>_xlfn.XLOOKUP(PROPERTIES[[#This Row],[VEHIDCODE]],CONTROL[VEHIDCODE],CONTROL[ENGLISH])</f>
        <v>FS 691</v>
      </c>
      <c r="F153" t="s">
        <v>675</v>
      </c>
      <c r="G153" s="45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8">
        <v>144</v>
      </c>
      <c r="R153">
        <v>1750</v>
      </c>
      <c r="S153">
        <v>130</v>
      </c>
      <c r="T153" s="25">
        <v>145</v>
      </c>
      <c r="U153" s="24">
        <f>IFERROR(PROPERTIES[[#This Row],[TE_STARTING_KN]]/(PROPERTIES[[#This Row],[WEIGHT]]*9.81),0)</f>
        <v>0.10264469362328689</v>
      </c>
      <c r="V153" s="24">
        <v>0</v>
      </c>
      <c r="W153" s="21">
        <f>ROUND(IF(IFERROR(PROPERTIES[[#This Row],[TE_COEFFICIENT_CALC]],0)=0,PROPERTIES[[#This Row],[TE_COEFFICIENT_MANUAL]],PROPERTIES[[#This Row],[TE_COEFFICIENT_CALC]]),3)</f>
        <v>0.10299999999999999</v>
      </c>
      <c r="X153" s="9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1">
        <v>0</v>
      </c>
      <c r="Z153" s="7">
        <v>4</v>
      </c>
      <c r="AA153" t="s">
        <v>240</v>
      </c>
      <c r="AB153" t="s">
        <v>238</v>
      </c>
      <c r="AC153" t="s">
        <v>238</v>
      </c>
      <c r="AD153" s="2" t="s">
        <v>238</v>
      </c>
      <c r="AE153" s="2" t="s">
        <v>253</v>
      </c>
      <c r="AF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3" s="2" t="str">
        <f>SUBSTITUTE(SUBSTITUTE(PROPERTIES[[#This Row],[PURCHASECOST_VALUE]], "PURCHASECOST_", ""), "_VALUE", "")</f>
        <v>STEAMENGINE</v>
      </c>
      <c r="AI153" s="7" t="str" cm="1">
        <f t="array" ref="AI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3" s="43" t="b">
        <v>0</v>
      </c>
      <c r="AK153" s="8" t="b">
        <v>0</v>
      </c>
      <c r="BB153"/>
      <c r="BC153"/>
      <c r="BD153"/>
    </row>
    <row r="154" spans="1:56">
      <c r="A154" s="2" t="s">
        <v>2874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5" t="str">
        <f>_xlfn.XLOOKUP(PROPERTIES[[#This Row],[VEHIDCODE]],CONTROL[VEHIDCODE],CONTROL[ENGLISH])</f>
        <v>North British Lb 2-10-0</v>
      </c>
      <c r="F154" t="s">
        <v>654</v>
      </c>
      <c r="G154" s="45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8">
        <v>138.5</v>
      </c>
      <c r="R154">
        <v>1600</v>
      </c>
      <c r="S154">
        <v>75</v>
      </c>
      <c r="T154" s="25">
        <v>152.19999999999999</v>
      </c>
      <c r="U154" s="24">
        <f>IFERROR(PROPERTIES[[#This Row],[TE_STARTING_KN]]/(PROPERTIES[[#This Row],[WEIGHT]]*9.81),0)</f>
        <v>0.11202007823741336</v>
      </c>
      <c r="V154" s="24">
        <v>0</v>
      </c>
      <c r="W154" s="21">
        <f>ROUND(IF(IFERROR(PROPERTIES[[#This Row],[TE_COEFFICIENT_CALC]],0)=0,PROPERTIES[[#This Row],[TE_COEFFICIENT_MANUAL]],PROPERTIES[[#This Row],[TE_COEFFICIENT_CALC]]),3)</f>
        <v>0.112</v>
      </c>
      <c r="X154" s="9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1">
        <v>0</v>
      </c>
      <c r="Z154" s="7">
        <v>4</v>
      </c>
      <c r="AA154" t="s">
        <v>240</v>
      </c>
      <c r="AB154" t="s">
        <v>238</v>
      </c>
      <c r="AC154" t="s">
        <v>238</v>
      </c>
      <c r="AD154" s="2" t="s">
        <v>238</v>
      </c>
      <c r="AE154" s="2" t="s">
        <v>253</v>
      </c>
      <c r="AF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4" s="2" t="str">
        <f>SUBSTITUTE(SUBSTITUTE(PROPERTIES[[#This Row],[PURCHASECOST_VALUE]], "PURCHASECOST_", ""), "_VALUE", "")</f>
        <v>STEAMENGINE</v>
      </c>
      <c r="AI154" s="7" t="str" cm="1">
        <f t="array" ref="AI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4" s="43" t="b">
        <v>0</v>
      </c>
      <c r="AK154" s="8" t="b">
        <v>0</v>
      </c>
      <c r="BB154"/>
      <c r="BC154"/>
      <c r="BD154"/>
    </row>
    <row r="155" spans="1:56">
      <c r="A155" s="2" t="s">
        <v>2875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5" t="str">
        <f>_xlfn.XLOOKUP(PROPERTIES[[#This Row],[VEHIDCODE]],CONTROL[VEHIDCODE],CONTROL[ENGLISH])</f>
        <v>ALCO/Baldwin 2-8-0 'USATC S160'</v>
      </c>
      <c r="F155" t="s">
        <v>573</v>
      </c>
      <c r="G155" s="45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8">
        <v>123.5</v>
      </c>
      <c r="R155">
        <v>1200</v>
      </c>
      <c r="S155">
        <v>80</v>
      </c>
      <c r="T155" s="25">
        <v>138</v>
      </c>
      <c r="U155" s="24">
        <f>IFERROR(PROPERTIES[[#This Row],[TE_STARTING_KN]]/(PROPERTIES[[#This Row],[WEIGHT]]*9.81),0)</f>
        <v>0.11390508734786861</v>
      </c>
      <c r="V155" s="24">
        <v>0</v>
      </c>
      <c r="W155" s="21">
        <f>ROUND(IF(IFERROR(PROPERTIES[[#This Row],[TE_COEFFICIENT_CALC]],0)=0,PROPERTIES[[#This Row],[TE_COEFFICIENT_MANUAL]],PROPERTIES[[#This Row],[TE_COEFFICIENT_CALC]]),3)</f>
        <v>0.114</v>
      </c>
      <c r="X155" s="9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1">
        <v>0</v>
      </c>
      <c r="Z155" s="7">
        <v>0</v>
      </c>
      <c r="AA155" t="s">
        <v>240</v>
      </c>
      <c r="AB155" t="s">
        <v>238</v>
      </c>
      <c r="AC155" t="s">
        <v>238</v>
      </c>
      <c r="AD155" s="2" t="s">
        <v>238</v>
      </c>
      <c r="AE155" s="2" t="s">
        <v>253</v>
      </c>
      <c r="AF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5" s="2" t="str">
        <f>SUBSTITUTE(SUBSTITUTE(PROPERTIES[[#This Row],[PURCHASECOST_VALUE]], "PURCHASECOST_", ""), "_VALUE", "")</f>
        <v>STEAMENGINE</v>
      </c>
      <c r="AI155" s="7" t="str" cm="1">
        <f t="array" ref="AI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5" s="43" t="b">
        <v>0</v>
      </c>
      <c r="AK155" s="8" t="b">
        <v>0</v>
      </c>
      <c r="BB155"/>
      <c r="BC155"/>
      <c r="BD155"/>
    </row>
    <row r="156" spans="1:56">
      <c r="A156" s="2" t="s">
        <v>3557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5" t="str">
        <f>_xlfn.XLOOKUP(PROPERTIES[[#This Row],[VEHIDCODE]],CONTROL[VEHIDCODE],CONTROL[ENGLISH])</f>
        <v>RENFE 4-8-4 242F 'Confederacion'</v>
      </c>
      <c r="F156" t="s">
        <v>634</v>
      </c>
      <c r="G156" s="45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8">
        <v>213.5</v>
      </c>
      <c r="R156">
        <v>3500</v>
      </c>
      <c r="S156">
        <f>ROUND(1.62*75,0)</f>
        <v>122</v>
      </c>
      <c r="T156" s="25">
        <v>0</v>
      </c>
      <c r="U156" s="24">
        <f>IFERROR(PROPERTIES[[#This Row],[TE_STARTING_KN]]/(PROPERTIES[[#This Row],[WEIGHT]]*9.81),0)</f>
        <v>0</v>
      </c>
      <c r="V156" s="24">
        <v>0.11</v>
      </c>
      <c r="W156" s="21">
        <f>ROUND(IF(IFERROR(PROPERTIES[[#This Row],[TE_COEFFICIENT_CALC]],0)=0,PROPERTIES[[#This Row],[TE_COEFFICIENT_MANUAL]],PROPERTIES[[#This Row],[TE_COEFFICIENT_CALC]]),3)</f>
        <v>0.11</v>
      </c>
      <c r="X156" s="9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1">
        <v>0</v>
      </c>
      <c r="Z156" s="7">
        <v>5</v>
      </c>
      <c r="AA156" t="s">
        <v>240</v>
      </c>
      <c r="AB156" t="s">
        <v>238</v>
      </c>
      <c r="AC156" t="s">
        <v>238</v>
      </c>
      <c r="AD156" s="2" t="s">
        <v>238</v>
      </c>
      <c r="AE156" s="2" t="s">
        <v>253</v>
      </c>
      <c r="AF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6" s="2" t="str">
        <f>SUBSTITUTE(SUBSTITUTE(PROPERTIES[[#This Row],[PURCHASECOST_VALUE]], "PURCHASECOST_", ""), "_VALUE", "")</f>
        <v>STEAMENGINE</v>
      </c>
      <c r="AI156" s="7" t="str" cm="1">
        <f t="array" ref="AI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6" s="43" t="b">
        <v>0</v>
      </c>
      <c r="AK156" s="8" t="b">
        <v>0</v>
      </c>
      <c r="BB156"/>
      <c r="BC156"/>
      <c r="BD156"/>
    </row>
    <row r="157" spans="1:56">
      <c r="A157" s="2" t="s">
        <v>2876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5" t="str">
        <f>_xlfn.XLOOKUP(PROPERTIES[[#This Row],[VEHIDCODE]],CONTROL[VEHIDCODE],CONTROL[ENGLISH])</f>
        <v>Skoda 6Lo</v>
      </c>
      <c r="F157" t="s">
        <v>622</v>
      </c>
      <c r="G157" s="45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8">
        <v>132</v>
      </c>
      <c r="R157">
        <v>1400</v>
      </c>
      <c r="S157">
        <v>60</v>
      </c>
      <c r="T157" s="25">
        <v>195</v>
      </c>
      <c r="U157" s="24">
        <f>IFERROR(PROPERTIES[[#This Row],[TE_STARTING_KN]]/(PROPERTIES[[#This Row],[WEIGHT]]*9.81),0)</f>
        <v>0.15058845334074691</v>
      </c>
      <c r="V157" s="24">
        <v>0</v>
      </c>
      <c r="W157" s="21">
        <f>ROUND(IF(IFERROR(PROPERTIES[[#This Row],[TE_COEFFICIENT_CALC]],0)=0,PROPERTIES[[#This Row],[TE_COEFFICIENT_MANUAL]],PROPERTIES[[#This Row],[TE_COEFFICIENT_CALC]]),3)</f>
        <v>0.151</v>
      </c>
      <c r="X157" s="9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1">
        <v>0</v>
      </c>
      <c r="Z157" s="7">
        <v>3</v>
      </c>
      <c r="AA157" t="s">
        <v>245</v>
      </c>
      <c r="AB157" t="s">
        <v>238</v>
      </c>
      <c r="AC157" t="s">
        <v>238</v>
      </c>
      <c r="AD157" s="2" t="s">
        <v>238</v>
      </c>
      <c r="AE157" s="2" t="s">
        <v>253</v>
      </c>
      <c r="AF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7" s="2" t="str">
        <f>SUBSTITUTE(SUBSTITUTE(PROPERTIES[[#This Row],[PURCHASECOST_VALUE]], "PURCHASECOST_", ""), "_VALUE", "")</f>
        <v>STEAMENGINE</v>
      </c>
      <c r="AI157" s="7" t="str" cm="1">
        <f t="array" ref="AI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7" s="43" t="b">
        <v>0</v>
      </c>
      <c r="AK157" s="8" t="b">
        <v>0</v>
      </c>
      <c r="BB157"/>
      <c r="BC157"/>
      <c r="BD157"/>
    </row>
    <row r="158" spans="1:56">
      <c r="A158" s="2" t="s">
        <v>2877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5" t="str">
        <f>_xlfn.XLOOKUP(PROPERTIES[[#This Row],[VEHIDCODE]],CONTROL[VEHIDCODE],CONTROL[ENGLISH])</f>
        <v>Hanomag/Fablok 4-6-0 Ok22</v>
      </c>
      <c r="F158" t="s">
        <v>744</v>
      </c>
      <c r="G158" s="45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8">
        <v>133</v>
      </c>
      <c r="R158">
        <v>980</v>
      </c>
      <c r="S158">
        <v>100</v>
      </c>
      <c r="T158" s="25">
        <v>123</v>
      </c>
      <c r="U158" s="24">
        <f>IFERROR(PROPERTIES[[#This Row],[TE_STARTING_KN]]/(PROPERTIES[[#This Row],[WEIGHT]]*9.81),0)</f>
        <v>9.4272378193189399E-2</v>
      </c>
      <c r="V158" s="24">
        <v>0</v>
      </c>
      <c r="W158" s="21">
        <f>ROUND(IF(IFERROR(PROPERTIES[[#This Row],[TE_COEFFICIENT_CALC]],0)=0,PROPERTIES[[#This Row],[TE_COEFFICIENT_MANUAL]],PROPERTIES[[#This Row],[TE_COEFFICIENT_CALC]]),3)</f>
        <v>9.4E-2</v>
      </c>
      <c r="X158" s="9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1">
        <v>0</v>
      </c>
      <c r="Z158" s="7">
        <v>3</v>
      </c>
      <c r="AA158" t="s">
        <v>245</v>
      </c>
      <c r="AB158" t="s">
        <v>238</v>
      </c>
      <c r="AC158" t="s">
        <v>238</v>
      </c>
      <c r="AD158" s="2" t="s">
        <v>238</v>
      </c>
      <c r="AE158" s="2" t="s">
        <v>253</v>
      </c>
      <c r="AF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8" s="2" t="str">
        <f>SUBSTITUTE(SUBSTITUTE(PROPERTIES[[#This Row],[PURCHASECOST_VALUE]], "PURCHASECOST_", ""), "_VALUE", "")</f>
        <v>STEAMENGINE</v>
      </c>
      <c r="AI158" s="7" t="str" cm="1">
        <f t="array" ref="AI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8" s="43" t="b">
        <v>0</v>
      </c>
      <c r="AK158" s="8" t="b">
        <v>0</v>
      </c>
      <c r="BB158"/>
      <c r="BC158"/>
      <c r="BD158"/>
    </row>
    <row r="159" spans="1:56">
      <c r="A159" s="2" t="s">
        <v>2878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5" t="str">
        <f>_xlfn.XLOOKUP(PROPERTIES[[#This Row],[VEHIDCODE]],CONTROL[VEHIDCODE],CONTROL[ENGLISH])</f>
        <v>MAVAG 4-8-0 424</v>
      </c>
      <c r="F159" t="s">
        <v>663</v>
      </c>
      <c r="G159" s="45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8">
        <v>145.19999999999999</v>
      </c>
      <c r="R159">
        <v>1350</v>
      </c>
      <c r="S159">
        <v>90</v>
      </c>
      <c r="T159" s="25">
        <v>113.2</v>
      </c>
      <c r="U159" s="24">
        <f>IFERROR(PROPERTIES[[#This Row],[TE_STARTING_KN]]/(PROPERTIES[[#This Row],[WEIGHT]]*9.81),0)</f>
        <v>7.9471388895909323E-2</v>
      </c>
      <c r="V159" s="24">
        <v>0</v>
      </c>
      <c r="W159" s="21">
        <f>ROUND(IF(IFERROR(PROPERTIES[[#This Row],[TE_COEFFICIENT_CALC]],0)=0,PROPERTIES[[#This Row],[TE_COEFFICIENT_MANUAL]],PROPERTIES[[#This Row],[TE_COEFFICIENT_CALC]]),3)</f>
        <v>7.9000000000000001E-2</v>
      </c>
      <c r="X159" s="9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1">
        <v>0</v>
      </c>
      <c r="Z159" s="7">
        <v>4</v>
      </c>
      <c r="AA159" t="s">
        <v>245</v>
      </c>
      <c r="AB159" t="s">
        <v>238</v>
      </c>
      <c r="AC159" t="s">
        <v>238</v>
      </c>
      <c r="AD159" s="2" t="s">
        <v>238</v>
      </c>
      <c r="AE159" s="2" t="s">
        <v>253</v>
      </c>
      <c r="AF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9" s="2" t="str">
        <f>SUBSTITUTE(SUBSTITUTE(PROPERTIES[[#This Row],[PURCHASECOST_VALUE]], "PURCHASECOST_", ""), "_VALUE", "")</f>
        <v>STEAMENGINE</v>
      </c>
      <c r="AI159" s="7" t="str" cm="1">
        <f t="array" ref="AI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9" s="43" t="b">
        <v>0</v>
      </c>
      <c r="AK159" s="8" t="b">
        <v>0</v>
      </c>
      <c r="BB159"/>
      <c r="BC159"/>
      <c r="BD159"/>
    </row>
    <row r="160" spans="1:56">
      <c r="A160" s="2" t="s">
        <v>2879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5" t="str">
        <f>_xlfn.XLOOKUP(PROPERTIES[[#This Row],[VEHIDCODE]],CONTROL[VEHIDCODE],CONTROL[ENGLISH])</f>
        <v>MAVAG 4-4-4T 242</v>
      </c>
      <c r="F160" t="s">
        <v>665</v>
      </c>
      <c r="G160" s="45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8">
        <v>85</v>
      </c>
      <c r="R160">
        <v>618</v>
      </c>
      <c r="S160">
        <v>120</v>
      </c>
      <c r="T160" s="25">
        <v>65</v>
      </c>
      <c r="U160" s="24">
        <f>IFERROR(PROPERTIES[[#This Row],[TE_STARTING_KN]]/(PROPERTIES[[#This Row],[WEIGHT]]*9.81),0)</f>
        <v>7.7951669964621939E-2</v>
      </c>
      <c r="V160" s="24">
        <v>0</v>
      </c>
      <c r="W160" s="21">
        <f>ROUND(IF(IFERROR(PROPERTIES[[#This Row],[TE_COEFFICIENT_CALC]],0)=0,PROPERTIES[[#This Row],[TE_COEFFICIENT_MANUAL]],PROPERTIES[[#This Row],[TE_COEFFICIENT_CALC]]),3)</f>
        <v>7.8E-2</v>
      </c>
      <c r="X160" s="9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1">
        <v>0</v>
      </c>
      <c r="Z160" s="7">
        <v>0</v>
      </c>
      <c r="AA160" t="s">
        <v>245</v>
      </c>
      <c r="AB160" t="s">
        <v>238</v>
      </c>
      <c r="AC160" t="s">
        <v>238</v>
      </c>
      <c r="AD160" s="2" t="s">
        <v>238</v>
      </c>
      <c r="AE160" s="2" t="s">
        <v>253</v>
      </c>
      <c r="AF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0" s="2" t="str">
        <f>SUBSTITUTE(SUBSTITUTE(PROPERTIES[[#This Row],[PURCHASECOST_VALUE]], "PURCHASECOST_", ""), "_VALUE", "")</f>
        <v>STEAMENGINE</v>
      </c>
      <c r="AI160" s="7" t="str" cm="1">
        <f t="array" ref="AI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0" s="43" t="b">
        <v>0</v>
      </c>
      <c r="AK160" s="8" t="b">
        <v>0</v>
      </c>
      <c r="BB160"/>
      <c r="BC160"/>
      <c r="BD160"/>
    </row>
    <row r="161" spans="1:56">
      <c r="A161" s="2" t="s">
        <v>2880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5" t="str">
        <f>_xlfn.XLOOKUP(PROPERTIES[[#This Row],[VEHIDCODE]],CONTROL[VEHIDCODE],CONTROL[ENGLISH])</f>
        <v>Vulcan Foundry 2-8-0 'Liberation'</v>
      </c>
      <c r="F161" t="s">
        <v>622</v>
      </c>
      <c r="G161" s="45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8">
        <v>143.69999999999999</v>
      </c>
      <c r="R161">
        <v>1857</v>
      </c>
      <c r="S161">
        <v>80</v>
      </c>
      <c r="T161" s="25">
        <v>200</v>
      </c>
      <c r="U161" s="24">
        <f>IFERROR(PROPERTIES[[#This Row],[TE_STARTING_KN]]/(PROPERTIES[[#This Row],[WEIGHT]]*9.81),0)</f>
        <v>0.14187445954698066</v>
      </c>
      <c r="V161" s="24">
        <v>0</v>
      </c>
      <c r="W161" s="21">
        <f>ROUND(IF(IFERROR(PROPERTIES[[#This Row],[TE_COEFFICIENT_CALC]],0)=0,PROPERTIES[[#This Row],[TE_COEFFICIENT_MANUAL]],PROPERTIES[[#This Row],[TE_COEFFICIENT_CALC]]),3)</f>
        <v>0.14199999999999999</v>
      </c>
      <c r="X161" s="9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1">
        <v>0</v>
      </c>
      <c r="Z161" s="7">
        <v>3</v>
      </c>
      <c r="AA161" t="s">
        <v>245</v>
      </c>
      <c r="AB161" t="s">
        <v>238</v>
      </c>
      <c r="AC161" t="s">
        <v>238</v>
      </c>
      <c r="AD161" s="2" t="s">
        <v>238</v>
      </c>
      <c r="AE161" s="2" t="s">
        <v>253</v>
      </c>
      <c r="AF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1" s="2" t="str">
        <f>SUBSTITUTE(SUBSTITUTE(PROPERTIES[[#This Row],[PURCHASECOST_VALUE]], "PURCHASECOST_", ""), "_VALUE", "")</f>
        <v>STEAMENGINE</v>
      </c>
      <c r="AI161" s="7" t="str" cm="1">
        <f t="array" ref="AI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1" s="43" t="b">
        <v>0</v>
      </c>
      <c r="AK161" s="8" t="b">
        <v>0</v>
      </c>
      <c r="BB161"/>
      <c r="BC161"/>
      <c r="BD161"/>
    </row>
    <row r="162" spans="1:56">
      <c r="A162" s="2" t="s">
        <v>2881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5" t="str">
        <f>_xlfn.XLOOKUP(PROPERTIES[[#This Row],[VEHIDCODE]],CONTROL[VEHIDCODE],CONTROL[ENGLISH])</f>
        <v>Fablok 2-6-2 OI49</v>
      </c>
      <c r="F162" t="s">
        <v>744</v>
      </c>
      <c r="G162" s="45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8">
        <v>144.9</v>
      </c>
      <c r="R162">
        <v>1290</v>
      </c>
      <c r="S162">
        <v>100</v>
      </c>
      <c r="T162" s="25">
        <v>125</v>
      </c>
      <c r="U162" s="24">
        <f>IFERROR(PROPERTIES[[#This Row],[TE_STARTING_KN]]/(PROPERTIES[[#This Row],[WEIGHT]]*9.81),0)</f>
        <v>8.7937197364135272E-2</v>
      </c>
      <c r="V162" s="24">
        <v>0</v>
      </c>
      <c r="W162" s="21">
        <f>ROUND(IF(IFERROR(PROPERTIES[[#This Row],[TE_COEFFICIENT_CALC]],0)=0,PROPERTIES[[#This Row],[TE_COEFFICIENT_MANUAL]],PROPERTIES[[#This Row],[TE_COEFFICIENT_CALC]]),3)</f>
        <v>8.7999999999999995E-2</v>
      </c>
      <c r="X162" s="9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1">
        <v>0</v>
      </c>
      <c r="Z162" s="7">
        <v>5</v>
      </c>
      <c r="AA162" t="s">
        <v>245</v>
      </c>
      <c r="AB162" t="s">
        <v>247</v>
      </c>
      <c r="AC162" t="s">
        <v>238</v>
      </c>
      <c r="AD162" s="2" t="s">
        <v>238</v>
      </c>
      <c r="AE162" s="2" t="s">
        <v>253</v>
      </c>
      <c r="AF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2" s="2" t="str">
        <f>SUBSTITUTE(SUBSTITUTE(PROPERTIES[[#This Row],[PURCHASECOST_VALUE]], "PURCHASECOST_", ""), "_VALUE", "")</f>
        <v>STEAMENGINE</v>
      </c>
      <c r="AI162" s="7" t="str" cm="1">
        <f t="array" ref="AI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2" s="43" t="b">
        <v>0</v>
      </c>
      <c r="AK162" s="8" t="b">
        <v>0</v>
      </c>
      <c r="BB162"/>
      <c r="BC162"/>
      <c r="BD162"/>
    </row>
    <row r="163" spans="1:56">
      <c r="A163" s="2" t="s">
        <v>2882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5" t="str">
        <f>_xlfn.XLOOKUP(PROPERTIES[[#This Row],[VEHIDCODE]],CONTROL[VEHIDCODE],CONTROL[ENGLISH])</f>
        <v>Floridsdorf 2-6-2 KkStB 310</v>
      </c>
      <c r="F163" t="s">
        <v>579</v>
      </c>
      <c r="G163" s="45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8">
        <v>138</v>
      </c>
      <c r="R163">
        <v>1885</v>
      </c>
      <c r="S163">
        <v>100</v>
      </c>
      <c r="T163" s="25">
        <v>96.39</v>
      </c>
      <c r="U163" s="24">
        <f>IFERROR(PROPERTIES[[#This Row],[TE_STARTING_KN]]/(PROPERTIES[[#This Row],[WEIGHT]]*9.81),0)</f>
        <v>7.1200638213003598E-2</v>
      </c>
      <c r="V163" s="24">
        <v>0</v>
      </c>
      <c r="W163" s="21">
        <f>ROUND(IF(IFERROR(PROPERTIES[[#This Row],[TE_COEFFICIENT_CALC]],0)=0,PROPERTIES[[#This Row],[TE_COEFFICIENT_MANUAL]],PROPERTIES[[#This Row],[TE_COEFFICIENT_CALC]]),3)</f>
        <v>7.0999999999999994E-2</v>
      </c>
      <c r="X163" s="9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1">
        <v>0</v>
      </c>
      <c r="Z163" s="7">
        <v>4</v>
      </c>
      <c r="AA163" t="s">
        <v>239</v>
      </c>
      <c r="AB163" t="s">
        <v>238</v>
      </c>
      <c r="AC163" t="s">
        <v>238</v>
      </c>
      <c r="AD163" s="2" t="s">
        <v>238</v>
      </c>
      <c r="AE163" s="2" t="s">
        <v>253</v>
      </c>
      <c r="AF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3" s="2" t="str">
        <f>SUBSTITUTE(SUBSTITUTE(PROPERTIES[[#This Row],[PURCHASECOST_VALUE]], "PURCHASECOST_", ""), "_VALUE", "")</f>
        <v>STEAMENGINE</v>
      </c>
      <c r="AI163" s="7" t="str" cm="1">
        <f t="array" ref="AI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3" s="43" t="b">
        <v>0</v>
      </c>
      <c r="AK163" s="8" t="b">
        <v>0</v>
      </c>
      <c r="BB163"/>
      <c r="BC163"/>
      <c r="BD163"/>
    </row>
    <row r="164" spans="1:56">
      <c r="A164" s="2" t="s">
        <v>2883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5" t="str">
        <f>_xlfn.XLOOKUP(PROPERTIES[[#This Row],[VEHIDCODE]],CONTROL[VEHIDCODE],CONTROL[ENGLISH])</f>
        <v>Lima  4-8-4 7798-7817 'Daylight'</v>
      </c>
      <c r="F164" t="s">
        <v>796</v>
      </c>
      <c r="G164" s="45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8">
        <v>390</v>
      </c>
      <c r="R164">
        <v>5500</v>
      </c>
      <c r="S164">
        <v>177</v>
      </c>
      <c r="T164" s="25">
        <v>349.85</v>
      </c>
      <c r="U164" s="24">
        <f>IFERROR(PROPERTIES[[#This Row],[TE_STARTING_KN]]/(PROPERTIES[[#This Row],[WEIGHT]]*9.81),0)</f>
        <v>9.1442536396664845E-2</v>
      </c>
      <c r="V164" s="24">
        <v>0</v>
      </c>
      <c r="W164" s="21">
        <f>ROUND(IF(IFERROR(PROPERTIES[[#This Row],[TE_COEFFICIENT_CALC]],0)=0,PROPERTIES[[#This Row],[TE_COEFFICIENT_MANUAL]],PROPERTIES[[#This Row],[TE_COEFFICIENT_CALC]]),3)</f>
        <v>9.0999999999999998E-2</v>
      </c>
      <c r="X164" s="9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1">
        <v>0</v>
      </c>
      <c r="Z164" s="7">
        <v>6</v>
      </c>
      <c r="AA164" t="s">
        <v>244</v>
      </c>
      <c r="AB164" t="s">
        <v>238</v>
      </c>
      <c r="AC164" t="s">
        <v>238</v>
      </c>
      <c r="AD164" s="2" t="s">
        <v>238</v>
      </c>
      <c r="AE164" s="2" t="s">
        <v>253</v>
      </c>
      <c r="AF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4" s="2" t="str">
        <f>SUBSTITUTE(SUBSTITUTE(PROPERTIES[[#This Row],[PURCHASECOST_VALUE]], "PURCHASECOST_", ""), "_VALUE", "")</f>
        <v>STEAMENGINE</v>
      </c>
      <c r="AI164" s="7" t="str" cm="1">
        <f t="array" ref="AI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4" s="43" t="b">
        <v>0</v>
      </c>
      <c r="AK164" s="8" t="b">
        <v>0</v>
      </c>
      <c r="BB164"/>
      <c r="BC164"/>
      <c r="BD164"/>
    </row>
    <row r="165" spans="1:56">
      <c r="A165" s="2" t="s">
        <v>2884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5" t="str">
        <f>_xlfn.XLOOKUP(PROPERTIES[[#This Row],[VEHIDCODE]],CONTROL[VEHIDCODE],CONTROL[ENGLISH])</f>
        <v>GS&amp;WR 0-6-0 '101'</v>
      </c>
      <c r="F165" t="s">
        <v>667</v>
      </c>
      <c r="G165" s="45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8">
        <v>74.5</v>
      </c>
      <c r="R165">
        <v>650</v>
      </c>
      <c r="S165">
        <v>60</v>
      </c>
      <c r="T165" s="25">
        <v>76.400000000000006</v>
      </c>
      <c r="U165" s="24">
        <f>IFERROR(PROPERTIES[[#This Row],[TE_STARTING_KN]]/(PROPERTIES[[#This Row],[WEIGHT]]*9.81),0)</f>
        <v>0.10453652963350643</v>
      </c>
      <c r="V165" s="24">
        <v>0</v>
      </c>
      <c r="W165" s="21">
        <f>ROUND(IF(IFERROR(PROPERTIES[[#This Row],[TE_COEFFICIENT_CALC]],0)=0,PROPERTIES[[#This Row],[TE_COEFFICIENT_MANUAL]],PROPERTIES[[#This Row],[TE_COEFFICIENT_CALC]]),3)</f>
        <v>0.105</v>
      </c>
      <c r="X165" s="9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1">
        <v>0</v>
      </c>
      <c r="Z165" s="7">
        <v>3</v>
      </c>
      <c r="AA165" t="s">
        <v>243</v>
      </c>
      <c r="AB165" t="s">
        <v>238</v>
      </c>
      <c r="AC165" t="s">
        <v>238</v>
      </c>
      <c r="AD165" s="2" t="s">
        <v>238</v>
      </c>
      <c r="AE165" s="2" t="s">
        <v>253</v>
      </c>
      <c r="AF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5" s="2" t="str">
        <f>SUBSTITUTE(SUBSTITUTE(PROPERTIES[[#This Row],[PURCHASECOST_VALUE]], "PURCHASECOST_", ""), "_VALUE", "")</f>
        <v>STEAMENGINE</v>
      </c>
      <c r="AI165" s="7" t="str" cm="1">
        <f t="array" ref="AI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5" s="43" t="b">
        <v>0</v>
      </c>
      <c r="AK165" s="8" t="b">
        <v>0</v>
      </c>
      <c r="BB165"/>
      <c r="BC165"/>
      <c r="BD165"/>
    </row>
    <row r="166" spans="1:56">
      <c r="A166" s="2" t="s">
        <v>2885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5" t="str">
        <f>_xlfn.XLOOKUP(PROPERTIES[[#This Row],[VEHIDCODE]],CONTROL[VEHIDCODE],CONTROL[ENGLISH])</f>
        <v>ALCO 2-8-2 5100-5194 'Light Mikado'</v>
      </c>
      <c r="F166" t="s">
        <v>796</v>
      </c>
      <c r="G166" s="45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8">
        <v>217</v>
      </c>
      <c r="R166">
        <v>2990</v>
      </c>
      <c r="S166">
        <v>96</v>
      </c>
      <c r="T166" s="25">
        <v>243.42</v>
      </c>
      <c r="U166" s="24">
        <f>IFERROR(PROPERTIES[[#This Row],[TE_STARTING_KN]]/(PROPERTIES[[#This Row],[WEIGHT]]*9.81),0)</f>
        <v>0.11434772192392789</v>
      </c>
      <c r="V166" s="24">
        <v>0</v>
      </c>
      <c r="W166" s="21">
        <f>ROUND(IF(IFERROR(PROPERTIES[[#This Row],[TE_COEFFICIENT_CALC]],0)=0,PROPERTIES[[#This Row],[TE_COEFFICIENT_MANUAL]],PROPERTIES[[#This Row],[TE_COEFFICIENT_CALC]]),3)</f>
        <v>0.114</v>
      </c>
      <c r="X166" s="9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1">
        <v>0</v>
      </c>
      <c r="Z166" s="7">
        <v>4</v>
      </c>
      <c r="AA166" t="s">
        <v>244</v>
      </c>
      <c r="AB166" t="s">
        <v>238</v>
      </c>
      <c r="AC166" t="s">
        <v>238</v>
      </c>
      <c r="AD166" s="2" t="s">
        <v>238</v>
      </c>
      <c r="AE166" s="2" t="s">
        <v>253</v>
      </c>
      <c r="AF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6" s="2" t="str">
        <f>SUBSTITUTE(SUBSTITUTE(PROPERTIES[[#This Row],[PURCHASECOST_VALUE]], "PURCHASECOST_", ""), "_VALUE", "")</f>
        <v>STEAMENGINE</v>
      </c>
      <c r="AI166" s="7" t="str" cm="1">
        <f t="array" ref="AI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6" s="43" t="b">
        <v>0</v>
      </c>
      <c r="AK166" s="8" t="b">
        <v>0</v>
      </c>
      <c r="BB166"/>
      <c r="BC166"/>
      <c r="BD166"/>
    </row>
    <row r="167" spans="1:56">
      <c r="A167" s="2" t="s">
        <v>2886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5" t="str">
        <f>_xlfn.XLOOKUP(PROPERTIES[[#This Row],[VEHIDCODE]],CONTROL[VEHIDCODE],CONTROL[ENGLISH])</f>
        <v>FCGR [BAGS] No. 315 2-4-0T</v>
      </c>
      <c r="F167" t="s">
        <v>577</v>
      </c>
      <c r="G167" s="45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8">
        <v>48</v>
      </c>
      <c r="R167">
        <v>145</v>
      </c>
      <c r="S167">
        <v>45</v>
      </c>
      <c r="T167" s="25">
        <v>62</v>
      </c>
      <c r="U167" s="24">
        <f>IFERROR(PROPERTIES[[#This Row],[TE_STARTING_KN]]/(PROPERTIES[[#This Row],[WEIGHT]]*9.81),0)</f>
        <v>0.13166836561331974</v>
      </c>
      <c r="V167" s="24">
        <v>0</v>
      </c>
      <c r="W167" s="21">
        <f>ROUND(IF(IFERROR(PROPERTIES[[#This Row],[TE_COEFFICIENT_CALC]],0)=0,PROPERTIES[[#This Row],[TE_COEFFICIENT_MANUAL]],PROPERTIES[[#This Row],[TE_COEFFICIENT_CALC]]),3)</f>
        <v>0.13200000000000001</v>
      </c>
      <c r="X167" s="9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1">
        <v>0</v>
      </c>
      <c r="Z167" s="7">
        <v>0</v>
      </c>
      <c r="AA167" t="s">
        <v>246</v>
      </c>
      <c r="AB167" t="s">
        <v>238</v>
      </c>
      <c r="AC167" t="s">
        <v>238</v>
      </c>
      <c r="AD167" s="2" t="s">
        <v>238</v>
      </c>
      <c r="AE167" s="2" t="s">
        <v>253</v>
      </c>
      <c r="AF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7" s="2" t="str">
        <f>SUBSTITUTE(SUBSTITUTE(PROPERTIES[[#This Row],[PURCHASECOST_VALUE]], "PURCHASECOST_", ""), "_VALUE", "")</f>
        <v>STEAMENGINE</v>
      </c>
      <c r="AI167" s="7" t="str" cm="1">
        <f t="array" ref="AI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7" s="43" t="b">
        <v>0</v>
      </c>
      <c r="AK167" s="8" t="b">
        <v>0</v>
      </c>
      <c r="BB167"/>
      <c r="BC167"/>
      <c r="BD167"/>
    </row>
    <row r="168" spans="1:56">
      <c r="A168" s="2" t="s">
        <v>2887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5" t="str">
        <f>_xlfn.XLOOKUP(PROPERTIES[[#This Row],[VEHIDCODE]],CONTROL[VEHIDCODE],CONTROL[ENGLISH])</f>
        <v>Eveleigh 4-6-0 'C35'</v>
      </c>
      <c r="F168" t="s">
        <v>580</v>
      </c>
      <c r="G168" s="45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8">
        <v>126</v>
      </c>
      <c r="R168">
        <v>1400</v>
      </c>
      <c r="S168">
        <v>80</v>
      </c>
      <c r="T168" s="25">
        <v>129.80000000000001</v>
      </c>
      <c r="U168" s="24">
        <f>IFERROR(PROPERTIES[[#This Row],[TE_STARTING_KN]]/(PROPERTIES[[#This Row],[WEIGHT]]*9.81),0)</f>
        <v>0.10501108360435576</v>
      </c>
      <c r="V168" s="24">
        <v>0</v>
      </c>
      <c r="W168" s="21">
        <f>ROUND(IF(IFERROR(PROPERTIES[[#This Row],[TE_COEFFICIENT_CALC]],0)=0,PROPERTIES[[#This Row],[TE_COEFFICIENT_MANUAL]],PROPERTIES[[#This Row],[TE_COEFFICIENT_CALC]]),3)</f>
        <v>0.105</v>
      </c>
      <c r="X168" s="9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1">
        <v>0</v>
      </c>
      <c r="Z168" s="7">
        <v>4</v>
      </c>
      <c r="AA168" t="s">
        <v>241</v>
      </c>
      <c r="AB168" t="s">
        <v>238</v>
      </c>
      <c r="AC168" t="s">
        <v>238</v>
      </c>
      <c r="AD168" s="2" t="s">
        <v>238</v>
      </c>
      <c r="AE168" s="2" t="s">
        <v>253</v>
      </c>
      <c r="AF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8" s="2" t="str">
        <f>SUBSTITUTE(SUBSTITUTE(PROPERTIES[[#This Row],[PURCHASECOST_VALUE]], "PURCHASECOST_", ""), "_VALUE", "")</f>
        <v>STEAMENGINE</v>
      </c>
      <c r="AI168" s="7" t="str" cm="1">
        <f t="array" ref="AI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68" s="43" t="b">
        <v>0</v>
      </c>
      <c r="AK168" s="8" t="b">
        <v>0</v>
      </c>
      <c r="BB168"/>
      <c r="BC168"/>
      <c r="BD168"/>
    </row>
    <row r="169" spans="1:56">
      <c r="A169" s="2" t="s">
        <v>2888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5" t="str">
        <f>_xlfn.XLOOKUP(PROPERTIES[[#This Row],[VEHIDCODE]],CONTROL[VEHIDCODE],CONTROL[ENGLISH])</f>
        <v>ALCO 2-8-0 74707-74785 'Type 29'</v>
      </c>
      <c r="F169" t="s">
        <v>587</v>
      </c>
      <c r="G169" s="45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8">
        <v>127</v>
      </c>
      <c r="R169">
        <v>1970</v>
      </c>
      <c r="S169">
        <v>96</v>
      </c>
      <c r="T169" s="25">
        <v>138</v>
      </c>
      <c r="U169" s="24">
        <f>IFERROR(PROPERTIES[[#This Row],[TE_STARTING_KN]]/(PROPERTIES[[#This Row],[WEIGHT]]*9.81),0)</f>
        <v>0.11076597076741553</v>
      </c>
      <c r="V169" s="24">
        <v>0</v>
      </c>
      <c r="W169" s="21">
        <f>ROUND(IF(IFERROR(PROPERTIES[[#This Row],[TE_COEFFICIENT_CALC]],0)=0,PROPERTIES[[#This Row],[TE_COEFFICIENT_MANUAL]],PROPERTIES[[#This Row],[TE_COEFFICIENT_CALC]]),3)</f>
        <v>0.111</v>
      </c>
      <c r="X169" s="9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1">
        <v>0</v>
      </c>
      <c r="Z169" s="7">
        <v>4</v>
      </c>
      <c r="AA169" t="s">
        <v>239</v>
      </c>
      <c r="AB169" t="s">
        <v>238</v>
      </c>
      <c r="AC169" t="s">
        <v>238</v>
      </c>
      <c r="AD169" s="2" t="s">
        <v>238</v>
      </c>
      <c r="AE169" s="2" t="s">
        <v>253</v>
      </c>
      <c r="AF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9" s="2" t="str">
        <f>SUBSTITUTE(SUBSTITUTE(PROPERTIES[[#This Row],[PURCHASECOST_VALUE]], "PURCHASECOST_", ""), "_VALUE", "")</f>
        <v>STEAMENGINE</v>
      </c>
      <c r="AI169" s="7" t="str" cm="1">
        <f t="array" ref="AI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9" s="43" t="b">
        <v>0</v>
      </c>
      <c r="AK169" s="8" t="b">
        <v>0</v>
      </c>
      <c r="BB169"/>
      <c r="BC169"/>
      <c r="BD169"/>
    </row>
    <row r="170" spans="1:56">
      <c r="A170" s="2" t="s">
        <v>2889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5" t="str">
        <f>_xlfn.XLOOKUP(PROPERTIES[[#This Row],[VEHIDCODE]],CONTROL[VEHIDCODE],CONTROL[ENGLISH])</f>
        <v>FCAB 4-8-2 Vulcan 'Mountain'</v>
      </c>
      <c r="F170" t="s">
        <v>612</v>
      </c>
      <c r="G170" s="45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8">
        <v>146</v>
      </c>
      <c r="R170">
        <v>1457</v>
      </c>
      <c r="S170">
        <v>85</v>
      </c>
      <c r="T170" s="25">
        <v>151</v>
      </c>
      <c r="U170" s="24">
        <f>IFERROR(PROPERTIES[[#This Row],[TE_STARTING_KN]]/(PROPERTIES[[#This Row],[WEIGHT]]*9.81),0)</f>
        <v>0.10542778545794758</v>
      </c>
      <c r="V170" s="24">
        <v>0</v>
      </c>
      <c r="W170" s="21">
        <f>ROUND(IF(IFERROR(PROPERTIES[[#This Row],[TE_COEFFICIENT_CALC]],0)=0,PROPERTIES[[#This Row],[TE_COEFFICIENT_MANUAL]],PROPERTIES[[#This Row],[TE_COEFFICIENT_CALC]]),3)</f>
        <v>0.105</v>
      </c>
      <c r="X170" s="9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1">
        <v>0</v>
      </c>
      <c r="Z170" s="7">
        <v>4</v>
      </c>
      <c r="AA170" t="s">
        <v>246</v>
      </c>
      <c r="AB170" t="s">
        <v>238</v>
      </c>
      <c r="AC170" t="s">
        <v>238</v>
      </c>
      <c r="AD170" s="2" t="s">
        <v>238</v>
      </c>
      <c r="AE170" s="2" t="s">
        <v>253</v>
      </c>
      <c r="AF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0" s="2" t="str">
        <f>SUBSTITUTE(SUBSTITUTE(PROPERTIES[[#This Row],[PURCHASECOST_VALUE]], "PURCHASECOST_", ""), "_VALUE", "")</f>
        <v>STEAMENGINE</v>
      </c>
      <c r="AI170" s="7" t="str" cm="1">
        <f t="array" ref="AI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0" s="43" t="b">
        <v>0</v>
      </c>
      <c r="AK170" s="8" t="b">
        <v>1</v>
      </c>
      <c r="BB170"/>
      <c r="BC170"/>
      <c r="BD170"/>
    </row>
    <row r="171" spans="1:56">
      <c r="A171" s="2" t="s">
        <v>2890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5" t="str">
        <f>_xlfn.XLOOKUP(PROPERTIES[[#This Row],[VEHIDCODE]],CONTROL[VEHIDCODE],CONTROL[ENGLISH])</f>
        <v>Datong QJ 2-10-2 101-3602</v>
      </c>
      <c r="F171" t="s">
        <v>614</v>
      </c>
      <c r="G171" s="45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8">
        <v>203.2</v>
      </c>
      <c r="R171">
        <v>2980</v>
      </c>
      <c r="S171">
        <v>80</v>
      </c>
      <c r="T171" s="25">
        <v>281.75</v>
      </c>
      <c r="U171" s="24">
        <f>IFERROR(PROPERTIES[[#This Row],[TE_STARTING_KN]]/(PROPERTIES[[#This Row],[WEIGHT]]*9.81),0)</f>
        <v>0.1413419939480042</v>
      </c>
      <c r="V171" s="24">
        <v>0</v>
      </c>
      <c r="W171" s="21">
        <f>ROUND(IF(IFERROR(PROPERTIES[[#This Row],[TE_COEFFICIENT_CALC]],0)=0,PROPERTIES[[#This Row],[TE_COEFFICIENT_MANUAL]],PROPERTIES[[#This Row],[TE_COEFFICIENT_CALC]]),3)</f>
        <v>0.14099999999999999</v>
      </c>
      <c r="X171" s="9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1">
        <v>0</v>
      </c>
      <c r="Z171" s="7">
        <v>6</v>
      </c>
      <c r="AA171" t="s">
        <v>247</v>
      </c>
      <c r="AB171" t="s">
        <v>238</v>
      </c>
      <c r="AC171" t="s">
        <v>238</v>
      </c>
      <c r="AD171" s="2" t="s">
        <v>238</v>
      </c>
      <c r="AE171" s="2" t="s">
        <v>253</v>
      </c>
      <c r="AF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1" s="2" t="str">
        <f>SUBSTITUTE(SUBSTITUTE(PROPERTIES[[#This Row],[PURCHASECOST_VALUE]], "PURCHASECOST_", ""), "_VALUE", "")</f>
        <v>STEAMENGINE</v>
      </c>
      <c r="AI171" s="7" t="str" cm="1">
        <f t="array" ref="AI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1" s="43" t="b">
        <v>0</v>
      </c>
      <c r="AK171" s="8" t="b">
        <v>0</v>
      </c>
      <c r="BB171"/>
      <c r="BC171"/>
      <c r="BD171"/>
    </row>
    <row r="172" spans="1:56">
      <c r="A172" s="2" t="s">
        <v>2891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5" t="str">
        <f>_xlfn.XLOOKUP(PROPERTIES[[#This Row],[VEHIDCODE]],CONTROL[VEHIDCODE],CONTROL[ENGLISH])</f>
        <v>DB Kof II/DB 322</v>
      </c>
      <c r="F172" t="s">
        <v>623</v>
      </c>
      <c r="G172" s="45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8">
        <v>15</v>
      </c>
      <c r="R172">
        <v>60</v>
      </c>
      <c r="S172">
        <v>30</v>
      </c>
      <c r="T172" s="25">
        <v>30</v>
      </c>
      <c r="U172" s="24">
        <f>IFERROR(PROPERTIES[[#This Row],[TE_STARTING_KN]]/(PROPERTIES[[#This Row],[WEIGHT]]*9.81),0)</f>
        <v>0.2038735983690112</v>
      </c>
      <c r="V172" s="24">
        <v>0</v>
      </c>
      <c r="W172" s="21">
        <f>ROUND(IF(IFERROR(PROPERTIES[[#This Row],[TE_COEFFICIENT_CALC]],0)=0,PROPERTIES[[#This Row],[TE_COEFFICIENT_MANUAL]],PROPERTIES[[#This Row],[TE_COEFFICIENT_CALC]]),3)</f>
        <v>0.20399999999999999</v>
      </c>
      <c r="X172" s="9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1">
        <v>0</v>
      </c>
      <c r="Z172" s="7">
        <v>0</v>
      </c>
      <c r="AA172" t="s">
        <v>248</v>
      </c>
      <c r="AB172" t="s">
        <v>238</v>
      </c>
      <c r="AC172" t="s">
        <v>238</v>
      </c>
      <c r="AD172" s="2" t="s">
        <v>238</v>
      </c>
      <c r="AE172" s="2" t="s">
        <v>253</v>
      </c>
      <c r="AF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2" s="2" t="str">
        <f>SUBSTITUTE(SUBSTITUTE(PROPERTIES[[#This Row],[PURCHASECOST_VALUE]], "PURCHASECOST_", ""), "_VALUE", "")</f>
        <v>DIESELENGINE</v>
      </c>
      <c r="AI172" s="7" t="str" cm="1">
        <f t="array" ref="AI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2" s="43" t="b">
        <v>0</v>
      </c>
      <c r="AK172" s="8" t="b">
        <v>0</v>
      </c>
      <c r="BB172"/>
      <c r="BC172"/>
      <c r="BD172"/>
    </row>
    <row r="173" spans="1:56">
      <c r="A173" s="2" t="s">
        <v>2892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5" t="str">
        <f>_xlfn.XLOOKUP(PROPERTIES[[#This Row],[VEHIDCODE]],CONTROL[VEHIDCODE],CONTROL[ENGLISH])</f>
        <v>CNJ ALCo-GE-IR Boxcab 100T</v>
      </c>
      <c r="F173" t="s">
        <v>796</v>
      </c>
      <c r="G173" s="45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8">
        <v>90.7</v>
      </c>
      <c r="R173">
        <v>600</v>
      </c>
      <c r="S173">
        <v>55</v>
      </c>
      <c r="T173" s="25">
        <v>250</v>
      </c>
      <c r="U173" s="24">
        <f>IFERROR(PROPERTIES[[#This Row],[TE_STARTING_KN]]/(PROPERTIES[[#This Row],[WEIGHT]]*9.81),0)</f>
        <v>0.28097243435641017</v>
      </c>
      <c r="V173" s="24">
        <v>0</v>
      </c>
      <c r="W173" s="21">
        <f>ROUND(IF(IFERROR(PROPERTIES[[#This Row],[TE_COEFFICIENT_CALC]],0)=0,PROPERTIES[[#This Row],[TE_COEFFICIENT_MANUAL]],PROPERTIES[[#This Row],[TE_COEFFICIENT_CALC]]),3)</f>
        <v>0.28100000000000003</v>
      </c>
      <c r="X173" s="9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1">
        <v>0</v>
      </c>
      <c r="Z173" s="7">
        <v>0</v>
      </c>
      <c r="AA173" t="s">
        <v>244</v>
      </c>
      <c r="AB173" t="s">
        <v>238</v>
      </c>
      <c r="AC173" t="s">
        <v>238</v>
      </c>
      <c r="AD173" s="2" t="s">
        <v>238</v>
      </c>
      <c r="AE173" s="2" t="s">
        <v>253</v>
      </c>
      <c r="AF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3" s="2" t="str">
        <f>SUBSTITUTE(SUBSTITUTE(PROPERTIES[[#This Row],[PURCHASECOST_VALUE]], "PURCHASECOST_", ""), "_VALUE", "")</f>
        <v>DIESELENGINE</v>
      </c>
      <c r="AI173" s="7" t="str" cm="1">
        <f t="array" ref="AI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3" s="43" t="b">
        <v>0</v>
      </c>
      <c r="AK173" s="8" t="b">
        <v>0</v>
      </c>
      <c r="BB173"/>
      <c r="BC173"/>
      <c r="BD173"/>
    </row>
    <row r="174" spans="1:56">
      <c r="A174" s="2" t="s">
        <v>2893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5" t="str">
        <f>_xlfn.XLOOKUP(PROPERTIES[[#This Row],[VEHIDCODE]],CONTROL[VEHIDCODE],CONTROL[ENGLISH])</f>
        <v>Werkspoor 200 'Sik'</v>
      </c>
      <c r="F174" t="s">
        <v>731</v>
      </c>
      <c r="G174" s="45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8">
        <v>21</v>
      </c>
      <c r="R174">
        <v>72</v>
      </c>
      <c r="S174">
        <v>60</v>
      </c>
      <c r="T174" s="25">
        <v>45</v>
      </c>
      <c r="U174" s="24">
        <f>IFERROR(PROPERTIES[[#This Row],[TE_STARTING_KN]]/(PROPERTIES[[#This Row],[WEIGHT]]*9.81),0)</f>
        <v>0.218435998252512</v>
      </c>
      <c r="V174" s="24">
        <v>0</v>
      </c>
      <c r="W174" s="21">
        <f>ROUND(IF(IFERROR(PROPERTIES[[#This Row],[TE_COEFFICIENT_CALC]],0)=0,PROPERTIES[[#This Row],[TE_COEFFICIENT_MANUAL]],PROPERTIES[[#This Row],[TE_COEFFICIENT_CALC]]),3)</f>
        <v>0.218</v>
      </c>
      <c r="X174" s="9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1">
        <v>0</v>
      </c>
      <c r="Z174" s="7">
        <v>0</v>
      </c>
      <c r="AA174" t="s">
        <v>239</v>
      </c>
      <c r="AB174" t="s">
        <v>238</v>
      </c>
      <c r="AC174" t="s">
        <v>238</v>
      </c>
      <c r="AD174" s="2" t="s">
        <v>238</v>
      </c>
      <c r="AE174" s="2" t="s">
        <v>253</v>
      </c>
      <c r="AF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4" s="2" t="str">
        <f>SUBSTITUTE(SUBSTITUTE(PROPERTIES[[#This Row],[PURCHASECOST_VALUE]], "PURCHASECOST_", ""), "_VALUE", "")</f>
        <v>DIESELENGINE</v>
      </c>
      <c r="AI174" s="7" t="str" cm="1">
        <f t="array" ref="AI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4" s="43" t="b">
        <v>0</v>
      </c>
      <c r="AK174" s="8" t="b">
        <v>0</v>
      </c>
      <c r="BB174"/>
      <c r="BC174"/>
      <c r="BD174"/>
    </row>
    <row r="175" spans="1:56">
      <c r="A175" s="2" t="s">
        <v>2894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5" t="str">
        <f>_xlfn.XLOOKUP(PROPERTIES[[#This Row],[VEHIDCODE]],CONTROL[VEHIDCODE],CONTROL[ENGLISH])</f>
        <v>BMAG 'WR 200 B 14'</v>
      </c>
      <c r="F175" t="s">
        <v>623</v>
      </c>
      <c r="G175" s="45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8">
        <v>26</v>
      </c>
      <c r="R175">
        <v>200</v>
      </c>
      <c r="S175">
        <v>55</v>
      </c>
      <c r="T175" s="25">
        <v>68</v>
      </c>
      <c r="U175" s="24">
        <f>IFERROR(PROPERTIES[[#This Row],[TE_STARTING_KN]]/(PROPERTIES[[#This Row],[WEIGHT]]*9.81),0)</f>
        <v>0.26660393632870699</v>
      </c>
      <c r="V175" s="24">
        <v>0</v>
      </c>
      <c r="W175" s="21">
        <f>ROUND(IF(IFERROR(PROPERTIES[[#This Row],[TE_COEFFICIENT_CALC]],0)=0,PROPERTIES[[#This Row],[TE_COEFFICIENT_MANUAL]],PROPERTIES[[#This Row],[TE_COEFFICIENT_CALC]]),3)</f>
        <v>0.26700000000000002</v>
      </c>
      <c r="X175" s="9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1">
        <v>0</v>
      </c>
      <c r="Z175" s="7">
        <v>0</v>
      </c>
      <c r="AA175" t="s">
        <v>239</v>
      </c>
      <c r="AB175" t="s">
        <v>238</v>
      </c>
      <c r="AC175" t="s">
        <v>238</v>
      </c>
      <c r="AD175" s="2" t="s">
        <v>238</v>
      </c>
      <c r="AE175" s="2" t="s">
        <v>253</v>
      </c>
      <c r="AF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5" s="2" t="str">
        <f>SUBSTITUTE(SUBSTITUTE(PROPERTIES[[#This Row],[PURCHASECOST_VALUE]], "PURCHASECOST_", ""), "_VALUE", "")</f>
        <v>DIESELENGINE</v>
      </c>
      <c r="AI175" s="7" t="str" cm="1">
        <f t="array" ref="AI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5" s="43" t="b">
        <v>0</v>
      </c>
      <c r="AK175" s="8" t="b">
        <v>0</v>
      </c>
      <c r="BB175"/>
      <c r="BC175"/>
      <c r="BD175"/>
    </row>
    <row r="176" spans="1:56">
      <c r="A176" s="2" t="s">
        <v>2895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5" t="str">
        <f>_xlfn.XLOOKUP(PROPERTIES[[#This Row],[VEHIDCODE]],CONTROL[VEHIDCODE],CONTROL[ENGLISH])</f>
        <v>BBC/SLM Am 4/6</v>
      </c>
      <c r="F176" t="s">
        <v>609</v>
      </c>
      <c r="G176" s="45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8">
        <v>92</v>
      </c>
      <c r="R176">
        <v>2170</v>
      </c>
      <c r="S176">
        <v>110</v>
      </c>
      <c r="T176" s="25">
        <v>127</v>
      </c>
      <c r="U176" s="24">
        <f>IFERROR(PROPERTIES[[#This Row],[TE_STARTING_KN]]/(PROPERTIES[[#This Row],[WEIGHT]]*9.81),0)</f>
        <v>0.14071710322208925</v>
      </c>
      <c r="V176" s="24">
        <v>0</v>
      </c>
      <c r="W176" s="21">
        <f>ROUND(IF(IFERROR(PROPERTIES[[#This Row],[TE_COEFFICIENT_CALC]],0)=0,PROPERTIES[[#This Row],[TE_COEFFICIENT_MANUAL]],PROPERTIES[[#This Row],[TE_COEFFICIENT_CALC]]),3)</f>
        <v>0.14099999999999999</v>
      </c>
      <c r="X176" s="9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1">
        <v>0</v>
      </c>
      <c r="Z176" s="7">
        <v>0</v>
      </c>
      <c r="AA176" t="s">
        <v>239</v>
      </c>
      <c r="AB176" t="s">
        <v>238</v>
      </c>
      <c r="AC176" t="s">
        <v>238</v>
      </c>
      <c r="AD176" s="2" t="s">
        <v>238</v>
      </c>
      <c r="AE176" s="2" t="s">
        <v>253</v>
      </c>
      <c r="AF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6" s="2" t="str">
        <f>SUBSTITUTE(SUBSTITUTE(PROPERTIES[[#This Row],[PURCHASECOST_VALUE]], "PURCHASECOST_", ""), "_VALUE", "")</f>
        <v>DIESELENGINE</v>
      </c>
      <c r="AI176" s="7" t="str" cm="1">
        <f t="array" ref="AI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76" s="43" t="b">
        <v>1</v>
      </c>
      <c r="AK176" s="8" t="b">
        <v>0</v>
      </c>
      <c r="BB176"/>
      <c r="BC176"/>
      <c r="BD176"/>
    </row>
    <row r="177" spans="1:56">
      <c r="A177" s="2" t="s">
        <v>2896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5" t="str">
        <f>_xlfn.XLOOKUP(PROPERTIES[[#This Row],[VEHIDCODE]],CONTROL[VEHIDCODE],CONTROL[ENGLISH])</f>
        <v>GE 44-ton switcher</v>
      </c>
      <c r="F177" t="s">
        <v>580</v>
      </c>
      <c r="G177" s="45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8">
        <v>40</v>
      </c>
      <c r="R177">
        <v>380</v>
      </c>
      <c r="S177">
        <v>56</v>
      </c>
      <c r="T177" s="25">
        <v>57.83</v>
      </c>
      <c r="U177" s="24">
        <f>IFERROR(PROPERTIES[[#This Row],[TE_STARTING_KN]]/(PROPERTIES[[#This Row],[WEIGHT]]*9.81),0)</f>
        <v>0.14737512742099895</v>
      </c>
      <c r="V177" s="24">
        <v>0</v>
      </c>
      <c r="W177" s="21">
        <f>ROUND(IF(IFERROR(PROPERTIES[[#This Row],[TE_COEFFICIENT_CALC]],0)=0,PROPERTIES[[#This Row],[TE_COEFFICIENT_MANUAL]],PROPERTIES[[#This Row],[TE_COEFFICIENT_CALC]]),3)</f>
        <v>0.14699999999999999</v>
      </c>
      <c r="X177" s="9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1">
        <v>0</v>
      </c>
      <c r="Z177" s="7">
        <v>0</v>
      </c>
      <c r="AA177" t="s">
        <v>2012</v>
      </c>
      <c r="AB177" t="s">
        <v>249</v>
      </c>
      <c r="AC177" t="s">
        <v>2015</v>
      </c>
      <c r="AD177" s="2" t="s">
        <v>2015</v>
      </c>
      <c r="AE177" s="2" t="s">
        <v>253</v>
      </c>
      <c r="AF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7" s="2" t="str">
        <f>SUBSTITUTE(SUBSTITUTE(PROPERTIES[[#This Row],[PURCHASECOST_VALUE]], "PURCHASECOST_", ""), "_VALUE", "")</f>
        <v>DIESELENGINE</v>
      </c>
      <c r="AI177" s="7" t="str" cm="1">
        <f t="array" ref="AI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7" s="43" t="b">
        <v>0</v>
      </c>
      <c r="AK177" s="8" t="b">
        <v>0</v>
      </c>
      <c r="BB177"/>
      <c r="BC177"/>
      <c r="BD177"/>
    </row>
    <row r="178" spans="1:56">
      <c r="A178" s="2" t="s">
        <v>2897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5" t="str">
        <f>_xlfn.XLOOKUP(PROPERTIES[[#This Row],[VEHIDCODE]],CONTROL[VEHIDCODE],CONTROL[ENGLISH])</f>
        <v>ALCO S-2</v>
      </c>
      <c r="F178" t="s">
        <v>796</v>
      </c>
      <c r="G178" s="45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8">
        <v>104</v>
      </c>
      <c r="R178">
        <v>1000</v>
      </c>
      <c r="S178">
        <v>96</v>
      </c>
      <c r="T178" s="25">
        <v>261</v>
      </c>
      <c r="U178" s="24">
        <f>IFERROR(PROPERTIES[[#This Row],[TE_STARTING_KN]]/(PROPERTIES[[#This Row],[WEIGHT]]*9.81),0)</f>
        <v>0.25582215949188425</v>
      </c>
      <c r="V178" s="24">
        <v>0</v>
      </c>
      <c r="W178" s="21">
        <f>ROUND(IF(IFERROR(PROPERTIES[[#This Row],[TE_COEFFICIENT_CALC]],0)=0,PROPERTIES[[#This Row],[TE_COEFFICIENT_MANUAL]],PROPERTIES[[#This Row],[TE_COEFFICIENT_CALC]]),3)</f>
        <v>0.25600000000000001</v>
      </c>
      <c r="X178" s="9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1">
        <v>0</v>
      </c>
      <c r="Z178" s="7">
        <v>0</v>
      </c>
      <c r="AA178" t="s">
        <v>244</v>
      </c>
      <c r="AB178" t="s">
        <v>241</v>
      </c>
      <c r="AC178" t="s">
        <v>238</v>
      </c>
      <c r="AD178" s="2" t="s">
        <v>238</v>
      </c>
      <c r="AE178" s="2" t="s">
        <v>253</v>
      </c>
      <c r="AF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8" s="2" t="str">
        <f>SUBSTITUTE(SUBSTITUTE(PROPERTIES[[#This Row],[PURCHASECOST_VALUE]], "PURCHASECOST_", ""), "_VALUE", "")</f>
        <v>DIESELENGINE</v>
      </c>
      <c r="AI178" s="7" t="str" cm="1">
        <f t="array" ref="AI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78" s="43" t="b">
        <v>0</v>
      </c>
      <c r="AK178" s="8" t="b">
        <v>0</v>
      </c>
      <c r="BB178"/>
      <c r="BC178"/>
      <c r="BD178"/>
    </row>
    <row r="179" spans="1:56">
      <c r="A179" s="2" t="s">
        <v>2898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5" t="str">
        <f>_xlfn.XLOOKUP(PROPERTIES[[#This Row],[VEHIDCODE]],CONTROL[VEHIDCODE],CONTROL[ENGLISH])</f>
        <v>EMD F3</v>
      </c>
      <c r="F179" t="s">
        <v>796</v>
      </c>
      <c r="G179" s="45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8">
        <v>139</v>
      </c>
      <c r="R179">
        <v>1500</v>
      </c>
      <c r="S179">
        <v>164</v>
      </c>
      <c r="T179" s="25">
        <v>250</v>
      </c>
      <c r="U179" s="24">
        <f>IFERROR(PROPERTIES[[#This Row],[TE_STARTING_KN]]/(PROPERTIES[[#This Row],[WEIGHT]]*9.81),0)</f>
        <v>0.1833395668786072</v>
      </c>
      <c r="V179" s="24">
        <v>0</v>
      </c>
      <c r="W179" s="21">
        <f>ROUND(IF(IFERROR(PROPERTIES[[#This Row],[TE_COEFFICIENT_CALC]],0)=0,PROPERTIES[[#This Row],[TE_COEFFICIENT_MANUAL]],PROPERTIES[[#This Row],[TE_COEFFICIENT_CALC]]),3)</f>
        <v>0.183</v>
      </c>
      <c r="X179" s="9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1">
        <v>0</v>
      </c>
      <c r="Z179" s="7">
        <v>0</v>
      </c>
      <c r="AA179" t="s">
        <v>244</v>
      </c>
      <c r="AB179" t="s">
        <v>238</v>
      </c>
      <c r="AC179" t="s">
        <v>238</v>
      </c>
      <c r="AD179" s="2" t="s">
        <v>238</v>
      </c>
      <c r="AE179" s="2" t="s">
        <v>253</v>
      </c>
      <c r="AF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9" s="2" t="str">
        <f>SUBSTITUTE(SUBSTITUTE(PROPERTIES[[#This Row],[PURCHASECOST_VALUE]], "PURCHASECOST_", ""), "_VALUE", "")</f>
        <v>DIESELENGINE</v>
      </c>
      <c r="AI179" s="7" t="str" cm="1">
        <f t="array" ref="AI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79" s="43" t="b">
        <v>0</v>
      </c>
      <c r="AK179" s="8" t="b">
        <v>0</v>
      </c>
      <c r="BB179"/>
      <c r="BC179"/>
      <c r="BD179"/>
    </row>
    <row r="180" spans="1:56">
      <c r="A180" s="2" t="s">
        <v>2899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5" t="str">
        <f>_xlfn.XLOOKUP(PROPERTIES[[#This Row],[VEHIDCODE]],CONTROL[VEHIDCODE],CONTROL[ENGLISH])</f>
        <v>EMD E8</v>
      </c>
      <c r="F180" t="s">
        <v>796</v>
      </c>
      <c r="G180" s="45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8">
        <v>143</v>
      </c>
      <c r="R180">
        <v>2250</v>
      </c>
      <c r="S180">
        <v>188</v>
      </c>
      <c r="T180" s="25">
        <v>251</v>
      </c>
      <c r="U180" s="24">
        <f>IFERROR(PROPERTIES[[#This Row],[TE_STARTING_KN]]/(PROPERTIES[[#This Row],[WEIGHT]]*9.81),0)</f>
        <v>0.17892403213504129</v>
      </c>
      <c r="V180" s="24">
        <v>0</v>
      </c>
      <c r="W180" s="21">
        <f>ROUND(IF(IFERROR(PROPERTIES[[#This Row],[TE_COEFFICIENT_CALC]],0)=0,PROPERTIES[[#This Row],[TE_COEFFICIENT_MANUAL]],PROPERTIES[[#This Row],[TE_COEFFICIENT_CALC]]),3)</f>
        <v>0.17899999999999999</v>
      </c>
      <c r="X180" s="9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1">
        <v>0</v>
      </c>
      <c r="Z180" s="7">
        <v>0</v>
      </c>
      <c r="AA180" t="s">
        <v>244</v>
      </c>
      <c r="AB180" t="s">
        <v>238</v>
      </c>
      <c r="AC180" t="s">
        <v>238</v>
      </c>
      <c r="AD180" s="2" t="s">
        <v>238</v>
      </c>
      <c r="AE180" s="2" t="s">
        <v>253</v>
      </c>
      <c r="AF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0" s="2" t="str">
        <f>SUBSTITUTE(SUBSTITUTE(PROPERTIES[[#This Row],[PURCHASECOST_VALUE]], "PURCHASECOST_", ""), "_VALUE", "")</f>
        <v>DIESELENGINE</v>
      </c>
      <c r="AI180" s="7" t="str" cm="1">
        <f t="array" ref="AI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80" s="43" t="b">
        <v>0</v>
      </c>
      <c r="AK180" s="8" t="b">
        <v>0</v>
      </c>
      <c r="BB180"/>
      <c r="BC180"/>
      <c r="BD180"/>
    </row>
    <row r="181" spans="1:56">
      <c r="A181" s="2" t="s">
        <v>2900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5" t="str">
        <f>_xlfn.XLOOKUP(PROPERTIES[[#This Row],[VEHIDCODE]],CONTROL[VEHIDCODE],CONTROL[ENGLISH])</f>
        <v>ALCO RS-3</v>
      </c>
      <c r="F181" t="s">
        <v>597</v>
      </c>
      <c r="G181" s="45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8">
        <v>112</v>
      </c>
      <c r="R181">
        <v>1600</v>
      </c>
      <c r="S181">
        <v>137</v>
      </c>
      <c r="T181" s="25">
        <v>274.8</v>
      </c>
      <c r="U181" s="24">
        <f>IFERROR(PROPERTIES[[#This Row],[TE_STARTING_KN]]/(PROPERTIES[[#This Row],[WEIGHT]]*9.81),0)</f>
        <v>0.25010921799912628</v>
      </c>
      <c r="V181" s="24">
        <v>0</v>
      </c>
      <c r="W181" s="21">
        <f>ROUND(IF(IFERROR(PROPERTIES[[#This Row],[TE_COEFFICIENT_CALC]],0)=0,PROPERTIES[[#This Row],[TE_COEFFICIENT_MANUAL]],PROPERTIES[[#This Row],[TE_COEFFICIENT_CALC]]),3)</f>
        <v>0.25</v>
      </c>
      <c r="X181" s="9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1">
        <v>0</v>
      </c>
      <c r="Z181" s="7">
        <v>0</v>
      </c>
      <c r="AA181" t="s">
        <v>249</v>
      </c>
      <c r="AB181" t="s">
        <v>240</v>
      </c>
      <c r="AC181" t="s">
        <v>238</v>
      </c>
      <c r="AD181" s="2" t="s">
        <v>238</v>
      </c>
      <c r="AE181" s="2" t="s">
        <v>253</v>
      </c>
      <c r="AF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1" s="2" t="str">
        <f>SUBSTITUTE(SUBSTITUTE(PROPERTIES[[#This Row],[PURCHASECOST_VALUE]], "PURCHASECOST_", ""), "_VALUE", "")</f>
        <v>DIESELENGINE</v>
      </c>
      <c r="AI181" s="7" t="str" cm="1">
        <f t="array" ref="AI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1" s="43" t="b">
        <v>0</v>
      </c>
      <c r="AK181" s="8" t="b">
        <v>0</v>
      </c>
      <c r="BB181"/>
      <c r="BC181"/>
      <c r="BD181"/>
    </row>
    <row r="182" spans="1:56">
      <c r="A182" s="2" t="s">
        <v>2901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5" t="str">
        <f>_xlfn.XLOOKUP(PROPERTIES[[#This Row],[VEHIDCODE]],CONTROL[VEHIDCODE],CONTROL[ENGLISH])</f>
        <v>English Electric 'Bakkie'</v>
      </c>
      <c r="F182" t="s">
        <v>731</v>
      </c>
      <c r="G182" s="45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8">
        <v>47</v>
      </c>
      <c r="R182">
        <v>400</v>
      </c>
      <c r="S182">
        <v>30</v>
      </c>
      <c r="T182" s="25">
        <v>143</v>
      </c>
      <c r="U182" s="24">
        <f>IFERROR(PROPERTIES[[#This Row],[TE_STARTING_KN]]/(PROPERTIES[[#This Row],[WEIGHT]]*9.81),0)</f>
        <v>0.31014813368902766</v>
      </c>
      <c r="V182" s="24">
        <v>0</v>
      </c>
      <c r="W182" s="21">
        <f>ROUND(IF(IFERROR(PROPERTIES[[#This Row],[TE_COEFFICIENT_CALC]],0)=0,PROPERTIES[[#This Row],[TE_COEFFICIENT_MANUAL]],PROPERTIES[[#This Row],[TE_COEFFICIENT_CALC]]),3)</f>
        <v>0.31</v>
      </c>
      <c r="X182" s="9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1">
        <v>0</v>
      </c>
      <c r="Z182" s="7">
        <v>0</v>
      </c>
      <c r="AA182" t="s">
        <v>2015</v>
      </c>
      <c r="AB182" t="s">
        <v>238</v>
      </c>
      <c r="AC182" t="s">
        <v>238</v>
      </c>
      <c r="AD182" s="2" t="s">
        <v>238</v>
      </c>
      <c r="AE182" s="2" t="s">
        <v>253</v>
      </c>
      <c r="AF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2" s="2" t="str">
        <f>SUBSTITUTE(SUBSTITUTE(PROPERTIES[[#This Row],[PURCHASECOST_VALUE]], "PURCHASECOST_", ""), "_VALUE", "")</f>
        <v>DIESELENGINE</v>
      </c>
      <c r="AI182" s="7" t="str" cm="1">
        <f t="array" ref="AI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2" s="43" t="b">
        <v>0</v>
      </c>
      <c r="AK182" s="8" t="b">
        <v>0</v>
      </c>
      <c r="BB182"/>
      <c r="BC182"/>
      <c r="BD182"/>
    </row>
    <row r="183" spans="1:56">
      <c r="A183" s="2" t="s">
        <v>2902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5" t="str">
        <f>_xlfn.XLOOKUP(PROPERTIES[[#This Row],[VEHIDCODE]],CONTROL[VEHIDCODE],CONTROL[ENGLISH])</f>
        <v>Baldwin RF-16 'Sharknose'</v>
      </c>
      <c r="F183" t="s">
        <v>796</v>
      </c>
      <c r="G183" s="45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8">
        <v>121</v>
      </c>
      <c r="R183">
        <v>1600</v>
      </c>
      <c r="S183">
        <v>110</v>
      </c>
      <c r="T183" s="25">
        <v>216.18</v>
      </c>
      <c r="U183" s="24">
        <f>IFERROR(PROPERTIES[[#This Row],[TE_STARTING_KN]]/(PROPERTIES[[#This Row],[WEIGHT]]*9.81),0)</f>
        <v>0.18212146485707786</v>
      </c>
      <c r="V183" s="24">
        <v>0</v>
      </c>
      <c r="W183" s="21">
        <f>ROUND(IF(IFERROR(PROPERTIES[[#This Row],[TE_COEFFICIENT_CALC]],0)=0,PROPERTIES[[#This Row],[TE_COEFFICIENT_MANUAL]],PROPERTIES[[#This Row],[TE_COEFFICIENT_CALC]]),3)</f>
        <v>0.182</v>
      </c>
      <c r="X183" s="9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1">
        <v>0</v>
      </c>
      <c r="Z183" s="7">
        <v>0</v>
      </c>
      <c r="AA183" t="s">
        <v>244</v>
      </c>
      <c r="AB183" t="s">
        <v>238</v>
      </c>
      <c r="AC183" t="s">
        <v>238</v>
      </c>
      <c r="AD183" s="2" t="s">
        <v>238</v>
      </c>
      <c r="AE183" s="2" t="s">
        <v>253</v>
      </c>
      <c r="AF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3" s="2" t="str">
        <f>SUBSTITUTE(SUBSTITUTE(PROPERTIES[[#This Row],[PURCHASECOST_VALUE]], "PURCHASECOST_", ""), "_VALUE", "")</f>
        <v>DIESELENGINE</v>
      </c>
      <c r="AI183" s="7" t="str" cm="1">
        <f t="array" ref="AI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3" s="43" t="b">
        <v>0</v>
      </c>
      <c r="AK183" s="8" t="b">
        <v>0</v>
      </c>
      <c r="BB183"/>
      <c r="BC183"/>
      <c r="BD183"/>
    </row>
    <row r="184" spans="1:56">
      <c r="A184" s="2" t="s">
        <v>2903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5" t="str">
        <f>_xlfn.XLOOKUP(PROPERTIES[[#This Row],[VEHIDCODE]],CONTROL[VEHIDCODE],CONTROL[ENGLISH])</f>
        <v>AFE 1500</v>
      </c>
      <c r="F184" t="s">
        <v>797</v>
      </c>
      <c r="G184" s="45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8">
        <v>112</v>
      </c>
      <c r="R184">
        <v>1500</v>
      </c>
      <c r="S184">
        <v>110</v>
      </c>
      <c r="T184" s="25">
        <v>255</v>
      </c>
      <c r="U184" s="24">
        <f>IFERROR(PROPERTIES[[#This Row],[TE_STARTING_KN]]/(PROPERTIES[[#This Row],[WEIGHT]]*9.81),0)</f>
        <v>0.23208824814329401</v>
      </c>
      <c r="V184" s="24">
        <v>0</v>
      </c>
      <c r="W184" s="21">
        <f>ROUND(IF(IFERROR(PROPERTIES[[#This Row],[TE_COEFFICIENT_CALC]],0)=0,PROPERTIES[[#This Row],[TE_COEFFICIENT_MANUAL]],PROPERTIES[[#This Row],[TE_COEFFICIENT_CALC]]),3)</f>
        <v>0.23200000000000001</v>
      </c>
      <c r="X184" s="9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1">
        <v>0</v>
      </c>
      <c r="Z184" s="7">
        <v>0</v>
      </c>
      <c r="AA184" t="s">
        <v>246</v>
      </c>
      <c r="AB184" t="s">
        <v>238</v>
      </c>
      <c r="AC184" t="s">
        <v>238</v>
      </c>
      <c r="AD184" s="2" t="s">
        <v>238</v>
      </c>
      <c r="AE184" s="2" t="s">
        <v>253</v>
      </c>
      <c r="AF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4" s="2" t="str">
        <f>SUBSTITUTE(SUBSTITUTE(PROPERTIES[[#This Row],[PURCHASECOST_VALUE]], "PURCHASECOST_", ""), "_VALUE", "")</f>
        <v>DIESELENGINE</v>
      </c>
      <c r="AI184" s="7" t="str" cm="1">
        <f t="array" ref="AI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4" s="43" t="b">
        <v>0</v>
      </c>
      <c r="AK184" s="8" t="b">
        <v>0</v>
      </c>
      <c r="BB184"/>
      <c r="BC184"/>
      <c r="BD184"/>
    </row>
    <row r="185" spans="1:56">
      <c r="A185" s="2" t="s">
        <v>2904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5" t="str">
        <f>_xlfn.XLOOKUP(PROPERTIES[[#This Row],[VEHIDCODE]],CONTROL[VEHIDCODE],CONTROL[ENGLISH])</f>
        <v>FM H-24-66 'Trainmaster'</v>
      </c>
      <c r="F185" t="s">
        <v>604</v>
      </c>
      <c r="G185" s="45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8">
        <v>170</v>
      </c>
      <c r="R185">
        <v>2400</v>
      </c>
      <c r="S185">
        <v>105</v>
      </c>
      <c r="T185" s="25">
        <v>498.2</v>
      </c>
      <c r="U185" s="24">
        <f>IFERROR(PROPERTIES[[#This Row],[TE_STARTING_KN]]/(PROPERTIES[[#This Row],[WEIGHT]]*9.81),0)</f>
        <v>0.29873478443365115</v>
      </c>
      <c r="V185" s="24">
        <v>0</v>
      </c>
      <c r="W185" s="21">
        <f>ROUND(IF(IFERROR(PROPERTIES[[#This Row],[TE_COEFFICIENT_CALC]],0)=0,PROPERTIES[[#This Row],[TE_COEFFICIENT_MANUAL]],PROPERTIES[[#This Row],[TE_COEFFICIENT_CALC]]),3)</f>
        <v>0.29899999999999999</v>
      </c>
      <c r="X185" s="9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1">
        <v>0</v>
      </c>
      <c r="Z185" s="7">
        <v>0</v>
      </c>
      <c r="AA185" t="s">
        <v>244</v>
      </c>
      <c r="AB185" t="s">
        <v>238</v>
      </c>
      <c r="AC185" t="s">
        <v>238</v>
      </c>
      <c r="AD185" s="2" t="s">
        <v>238</v>
      </c>
      <c r="AE185" s="2" t="s">
        <v>253</v>
      </c>
      <c r="AF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5" s="2" t="str">
        <f>SUBSTITUTE(SUBSTITUTE(PROPERTIES[[#This Row],[PURCHASECOST_VALUE]], "PURCHASECOST_", ""), "_VALUE", "")</f>
        <v>DIESELENGINE</v>
      </c>
      <c r="AI185" s="7" t="str" cm="1">
        <f t="array" ref="AI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85" s="43" t="b">
        <v>0</v>
      </c>
      <c r="AK185" s="8" t="b">
        <v>0</v>
      </c>
      <c r="BB185"/>
      <c r="BC185"/>
      <c r="BD185"/>
    </row>
    <row r="186" spans="1:56">
      <c r="A186" s="2" t="s">
        <v>2905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5" t="str">
        <f>_xlfn.XLOOKUP(PROPERTIES[[#This Row],[VEHIDCODE]],CONTROL[VEHIDCODE],CONTROL[ENGLISH])</f>
        <v>BR Class 08 0-6-0DE</v>
      </c>
      <c r="F186" t="s">
        <v>696</v>
      </c>
      <c r="G186" s="45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8">
        <v>50</v>
      </c>
      <c r="R186">
        <v>350</v>
      </c>
      <c r="S186">
        <v>24</v>
      </c>
      <c r="T186" s="25">
        <v>160</v>
      </c>
      <c r="U186" s="24">
        <f>IFERROR(PROPERTIES[[#This Row],[TE_STARTING_KN]]/(PROPERTIES[[#This Row],[WEIGHT]]*9.81),0)</f>
        <v>0.32619775739041795</v>
      </c>
      <c r="V186" s="24">
        <v>0</v>
      </c>
      <c r="W186" s="21">
        <f>ROUND(IF(IFERROR(PROPERTIES[[#This Row],[TE_COEFFICIENT_CALC]],0)=0,PROPERTIES[[#This Row],[TE_COEFFICIENT_MANUAL]],PROPERTIES[[#This Row],[TE_COEFFICIENT_CALC]]),3)</f>
        <v>0.32600000000000001</v>
      </c>
      <c r="X186" s="9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1">
        <v>0</v>
      </c>
      <c r="Z186" s="7">
        <v>0</v>
      </c>
      <c r="AA186" t="s">
        <v>242</v>
      </c>
      <c r="AB186" t="s">
        <v>243</v>
      </c>
      <c r="AC186" t="s">
        <v>238</v>
      </c>
      <c r="AD186" s="2" t="s">
        <v>238</v>
      </c>
      <c r="AE186" s="2" t="s">
        <v>253</v>
      </c>
      <c r="AF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6" s="2" t="str">
        <f>SUBSTITUTE(SUBSTITUTE(PROPERTIES[[#This Row],[PURCHASECOST_VALUE]], "PURCHASECOST_", ""), "_VALUE", "")</f>
        <v>DIESELENGINE</v>
      </c>
      <c r="AI186" s="7" t="str" cm="1">
        <f t="array" ref="AI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6" s="43" t="b">
        <v>0</v>
      </c>
      <c r="AK186" s="8" t="b">
        <v>0</v>
      </c>
      <c r="BB186"/>
      <c r="BC186"/>
      <c r="BD186"/>
    </row>
    <row r="187" spans="1:56">
      <c r="A187" s="2" t="s">
        <v>2906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5" t="str">
        <f>_xlfn.XLOOKUP(PROPERTIES[[#This Row],[VEHIDCODE]],CONTROL[VEHIDCODE],CONTROL[ENGLISH])</f>
        <v>Jenbacher Werke 2060</v>
      </c>
      <c r="F187" t="s">
        <v>579</v>
      </c>
      <c r="G187" s="45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8">
        <v>28</v>
      </c>
      <c r="R187">
        <v>200</v>
      </c>
      <c r="S187">
        <v>60</v>
      </c>
      <c r="T187" s="25">
        <v>79</v>
      </c>
      <c r="U187" s="24">
        <f>IFERROR(PROPERTIES[[#This Row],[TE_STARTING_KN]]/(PROPERTIES[[#This Row],[WEIGHT]]*9.81),0)</f>
        <v>0.28760739769914079</v>
      </c>
      <c r="V187" s="24">
        <v>0</v>
      </c>
      <c r="W187" s="21">
        <f>ROUND(IF(IFERROR(PROPERTIES[[#This Row],[TE_COEFFICIENT_CALC]],0)=0,PROPERTIES[[#This Row],[TE_COEFFICIENT_MANUAL]],PROPERTIES[[#This Row],[TE_COEFFICIENT_CALC]]),3)</f>
        <v>0.28799999999999998</v>
      </c>
      <c r="X187" s="9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1">
        <v>0</v>
      </c>
      <c r="Z187" s="7">
        <v>0</v>
      </c>
      <c r="AA187" t="s">
        <v>239</v>
      </c>
      <c r="AB187" t="s">
        <v>245</v>
      </c>
      <c r="AC187" t="s">
        <v>238</v>
      </c>
      <c r="AD187" s="2" t="s">
        <v>238</v>
      </c>
      <c r="AE187" s="2" t="s">
        <v>253</v>
      </c>
      <c r="AF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7" s="2" t="str">
        <f>SUBSTITUTE(SUBSTITUTE(PROPERTIES[[#This Row],[PURCHASECOST_VALUE]], "PURCHASECOST_", ""), "_VALUE", "")</f>
        <v>DIESELENGINE</v>
      </c>
      <c r="AI187" s="7" t="str" cm="1">
        <f t="array" ref="AI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7" s="43" t="b">
        <v>0</v>
      </c>
      <c r="AK187" s="8" t="b">
        <v>0</v>
      </c>
      <c r="BB187"/>
      <c r="BC187"/>
      <c r="BD187"/>
    </row>
    <row r="188" spans="1:56">
      <c r="A188" s="2" t="s">
        <v>2907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5" t="str">
        <f>_xlfn.XLOOKUP(PROPERTIES[[#This Row],[VEHIDCODE]],CONTROL[VEHIDCODE],CONTROL[ENGLISH])</f>
        <v>EMD SW1200</v>
      </c>
      <c r="F188" t="s">
        <v>604</v>
      </c>
      <c r="G188" s="45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8">
        <v>111</v>
      </c>
      <c r="R188">
        <v>1200</v>
      </c>
      <c r="S188">
        <v>104</v>
      </c>
      <c r="T188" s="25">
        <v>0</v>
      </c>
      <c r="U188" s="24">
        <f>IFERROR(PROPERTIES[[#This Row],[TE_STARTING_KN]]/(PROPERTIES[[#This Row],[WEIGHT]]*9.81),0)</f>
        <v>0</v>
      </c>
      <c r="V188" s="24">
        <v>0.14000000000000001</v>
      </c>
      <c r="W188" s="21">
        <f>ROUND(IF(IFERROR(PROPERTIES[[#This Row],[TE_COEFFICIENT_CALC]],0)=0,PROPERTIES[[#This Row],[TE_COEFFICIENT_MANUAL]],PROPERTIES[[#This Row],[TE_COEFFICIENT_CALC]]),3)</f>
        <v>0.14000000000000001</v>
      </c>
      <c r="X188" s="9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1">
        <v>0</v>
      </c>
      <c r="Z188" s="7">
        <v>0</v>
      </c>
      <c r="AA188" t="s">
        <v>249</v>
      </c>
      <c r="AB188" t="s">
        <v>238</v>
      </c>
      <c r="AC188" t="s">
        <v>238</v>
      </c>
      <c r="AD188" s="2" t="s">
        <v>238</v>
      </c>
      <c r="AE188" s="2" t="s">
        <v>253</v>
      </c>
      <c r="AF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8" s="2" t="str">
        <f>SUBSTITUTE(SUBSTITUTE(PROPERTIES[[#This Row],[PURCHASECOST_VALUE]], "PURCHASECOST_", ""), "_VALUE", "")</f>
        <v>DIESELENGINE</v>
      </c>
      <c r="AI188" s="7" t="str" cm="1">
        <f t="array" ref="AI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8" s="43" t="b">
        <v>0</v>
      </c>
      <c r="AK188" s="8" t="b">
        <v>0</v>
      </c>
      <c r="BB188"/>
      <c r="BC188"/>
      <c r="BD188"/>
    </row>
    <row r="189" spans="1:56">
      <c r="A189" s="2" t="s">
        <v>2908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5" t="str">
        <f>_xlfn.XLOOKUP(PROPERTIES[[#This Row],[VEHIDCODE]],CONTROL[VEHIDCODE],CONTROL[ENGLISH])</f>
        <v>EMD FP9</v>
      </c>
      <c r="F189" t="s">
        <v>604</v>
      </c>
      <c r="G189" s="45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8">
        <v>104</v>
      </c>
      <c r="R189">
        <v>1800</v>
      </c>
      <c r="S189">
        <v>144</v>
      </c>
      <c r="T189" s="25">
        <v>0</v>
      </c>
      <c r="U189" s="24">
        <f>IFERROR(PROPERTIES[[#This Row],[TE_STARTING_KN]]/(PROPERTIES[[#This Row],[WEIGHT]]*9.81),0)</f>
        <v>0</v>
      </c>
      <c r="V189" s="24">
        <v>0.19</v>
      </c>
      <c r="W189" s="21">
        <f>ROUND(IF(IFERROR(PROPERTIES[[#This Row],[TE_COEFFICIENT_CALC]],0)=0,PROPERTIES[[#This Row],[TE_COEFFICIENT_MANUAL]],PROPERTIES[[#This Row],[TE_COEFFICIENT_CALC]]),3)</f>
        <v>0.19</v>
      </c>
      <c r="X189" s="9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1">
        <v>0</v>
      </c>
      <c r="Z189" s="7">
        <v>0</v>
      </c>
      <c r="AA189" t="s">
        <v>244</v>
      </c>
      <c r="AB189" t="s">
        <v>247</v>
      </c>
      <c r="AC189" t="s">
        <v>238</v>
      </c>
      <c r="AD189" s="2" t="s">
        <v>238</v>
      </c>
      <c r="AE189" s="2" t="s">
        <v>253</v>
      </c>
      <c r="AF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9" s="2" t="str">
        <f>SUBSTITUTE(SUBSTITUTE(PROPERTIES[[#This Row],[PURCHASECOST_VALUE]], "PURCHASECOST_", ""), "_VALUE", "")</f>
        <v>DIESELENGINE</v>
      </c>
      <c r="AI189" s="7" t="str" cm="1">
        <f t="array" ref="AI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9" s="43" t="b">
        <v>0</v>
      </c>
      <c r="AK189" s="8" t="b">
        <v>0</v>
      </c>
      <c r="BB189"/>
      <c r="BC189"/>
      <c r="BD189"/>
    </row>
    <row r="190" spans="1:56">
      <c r="A190" s="2" t="s">
        <v>2909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5" t="str">
        <f>_xlfn.XLOOKUP(PROPERTIES[[#This Row],[VEHIDCODE]],CONTROL[VEHIDCODE],CONTROL[ENGLISH])</f>
        <v>Ganz-MAVAG DVM2 'M44'</v>
      </c>
      <c r="F190" t="s">
        <v>665</v>
      </c>
      <c r="G190" s="45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8">
        <v>62</v>
      </c>
      <c r="R190">
        <v>590</v>
      </c>
      <c r="S190">
        <v>80</v>
      </c>
      <c r="T190" s="25">
        <v>166.5</v>
      </c>
      <c r="U190" s="24">
        <f>IFERROR(PROPERTIES[[#This Row],[TE_STARTING_KN]]/(PROPERTIES[[#This Row],[WEIGHT]]*9.81),0)</f>
        <v>0.27374963006806746</v>
      </c>
      <c r="V190" s="24">
        <v>0</v>
      </c>
      <c r="W190" s="21">
        <f>ROUND(IF(IFERROR(PROPERTIES[[#This Row],[TE_COEFFICIENT_CALC]],0)=0,PROPERTIES[[#This Row],[TE_COEFFICIENT_MANUAL]],PROPERTIES[[#This Row],[TE_COEFFICIENT_CALC]]),3)</f>
        <v>0.27400000000000002</v>
      </c>
      <c r="X190" s="9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1">
        <v>0</v>
      </c>
      <c r="Z190" s="7">
        <v>0</v>
      </c>
      <c r="AA190" t="s">
        <v>245</v>
      </c>
      <c r="AB190" t="s">
        <v>238</v>
      </c>
      <c r="AC190" t="s">
        <v>238</v>
      </c>
      <c r="AD190" s="2" t="s">
        <v>238</v>
      </c>
      <c r="AE190" s="2" t="s">
        <v>253</v>
      </c>
      <c r="AF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0" s="2" t="str">
        <f>SUBSTITUTE(SUBSTITUTE(PROPERTIES[[#This Row],[PURCHASECOST_VALUE]], "PURCHASECOST_", ""), "_VALUE", "")</f>
        <v>DIESELENGINE</v>
      </c>
      <c r="AI190" s="7" t="str" cm="1">
        <f t="array" ref="AI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0" s="43" t="b">
        <v>0</v>
      </c>
      <c r="AK190" s="8" t="b">
        <v>0</v>
      </c>
      <c r="BB190"/>
      <c r="BC190"/>
      <c r="BD190"/>
    </row>
    <row r="191" spans="1:56">
      <c r="A191" s="2" t="s">
        <v>3521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5" t="str">
        <f>_xlfn.XLOOKUP(PROPERTIES[[#This Row],[VEHIDCODE]],CONTROL[VEHIDCODE],CONTROL[ENGLISH])</f>
        <v>Raba M 030 'M28 Nyünyüke'</v>
      </c>
      <c r="F191" t="s">
        <v>665</v>
      </c>
      <c r="G191" s="45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8">
        <v>19</v>
      </c>
      <c r="R191">
        <v>135</v>
      </c>
      <c r="S191">
        <v>50</v>
      </c>
      <c r="T191" s="25">
        <v>0</v>
      </c>
      <c r="U191" s="24">
        <f>IFERROR(PROPERTIES[[#This Row],[TE_STARTING_KN]]/(PROPERTIES[[#This Row],[WEIGHT]]*9.81),0)</f>
        <v>0</v>
      </c>
      <c r="V191" s="24">
        <v>0.32</v>
      </c>
      <c r="W191" s="21">
        <f>ROUND(IF(IFERROR(PROPERTIES[[#This Row],[TE_COEFFICIENT_CALC]],0)=0,PROPERTIES[[#This Row],[TE_COEFFICIENT_MANUAL]],PROPERTIES[[#This Row],[TE_COEFFICIENT_CALC]]),3)</f>
        <v>0.32</v>
      </c>
      <c r="X191" s="9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1">
        <v>0</v>
      </c>
      <c r="Z191" s="7">
        <v>0</v>
      </c>
      <c r="AA191" t="s">
        <v>245</v>
      </c>
      <c r="AB191" t="s">
        <v>238</v>
      </c>
      <c r="AC191" t="s">
        <v>238</v>
      </c>
      <c r="AD191" s="2" t="s">
        <v>238</v>
      </c>
      <c r="AE191" s="2" t="s">
        <v>253</v>
      </c>
      <c r="AF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1" s="2" t="str">
        <f>SUBSTITUTE(SUBSTITUTE(PROPERTIES[[#This Row],[PURCHASECOST_VALUE]], "PURCHASECOST_", ""), "_VALUE", "")</f>
        <v>DIESELENGINE</v>
      </c>
      <c r="AI191" s="7" t="str" cm="1">
        <f t="array" ref="AI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1" s="43" t="b">
        <v>0</v>
      </c>
      <c r="AK191" s="8" t="b">
        <v>0</v>
      </c>
      <c r="BB191"/>
      <c r="BC191"/>
      <c r="BD191"/>
    </row>
    <row r="192" spans="1:56">
      <c r="A192" s="2" t="s">
        <v>3522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5" t="str">
        <f>_xlfn.XLOOKUP(PROPERTIES[[#This Row],[VEHIDCODE]],CONTROL[VEHIDCODE],CONTROL[ENGLISH])</f>
        <v>Cockerill-Sambre HLD serie 83</v>
      </c>
      <c r="F192" t="s">
        <v>587</v>
      </c>
      <c r="G192" s="45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8">
        <v>57</v>
      </c>
      <c r="R192">
        <v>440</v>
      </c>
      <c r="S192">
        <v>50</v>
      </c>
      <c r="T192" s="25">
        <v>196</v>
      </c>
      <c r="U192" s="24">
        <f>IFERROR(PROPERTIES[[#This Row],[TE_STARTING_KN]]/(PROPERTIES[[#This Row],[WEIGHT]]*9.81),0)</f>
        <v>0.35051952000286135</v>
      </c>
      <c r="V192" s="24">
        <v>0</v>
      </c>
      <c r="W192" s="21">
        <f>ROUND(IF(IFERROR(PROPERTIES[[#This Row],[TE_COEFFICIENT_CALC]],0)=0,PROPERTIES[[#This Row],[TE_COEFFICIENT_MANUAL]],PROPERTIES[[#This Row],[TE_COEFFICIENT_CALC]]),3)</f>
        <v>0.35099999999999998</v>
      </c>
      <c r="X192" s="9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1">
        <v>0</v>
      </c>
      <c r="Z192" s="7">
        <v>0</v>
      </c>
      <c r="AA192" t="s">
        <v>239</v>
      </c>
      <c r="AB192" t="s">
        <v>238</v>
      </c>
      <c r="AC192" t="s">
        <v>238</v>
      </c>
      <c r="AD192" s="2" t="s">
        <v>238</v>
      </c>
      <c r="AE192" s="2" t="s">
        <v>253</v>
      </c>
      <c r="AF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2" s="2" t="str">
        <f>SUBSTITUTE(SUBSTITUTE(PROPERTIES[[#This Row],[PURCHASECOST_VALUE]], "PURCHASECOST_", ""), "_VALUE", "")</f>
        <v>DIESELENGINE</v>
      </c>
      <c r="AI192" s="7" t="str" cm="1">
        <f t="array" ref="AI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2" s="43" t="b">
        <v>0</v>
      </c>
      <c r="AK192" s="8" t="b">
        <v>0</v>
      </c>
      <c r="BB192"/>
      <c r="BC192"/>
      <c r="BD192"/>
    </row>
    <row r="193" spans="1:56">
      <c r="A193" s="2" t="s">
        <v>2910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5" t="str">
        <f>_xlfn.XLOOKUP(PROPERTIES[[#This Row],[VEHIDCODE]],CONTROL[VEHIDCODE],CONTROL[ENGLISH])</f>
        <v>Krauss-Maffei V200</v>
      </c>
      <c r="F193" t="s">
        <v>623</v>
      </c>
      <c r="G193" s="45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8">
        <v>81</v>
      </c>
      <c r="R193">
        <v>2169</v>
      </c>
      <c r="S193">
        <v>140</v>
      </c>
      <c r="T193" s="25">
        <v>234</v>
      </c>
      <c r="U193" s="24">
        <f>IFERROR(PROPERTIES[[#This Row],[TE_STARTING_KN]]/(PROPERTIES[[#This Row],[WEIGHT]]*9.81),0)</f>
        <v>0.29448408653301616</v>
      </c>
      <c r="V193" s="24">
        <v>0</v>
      </c>
      <c r="W193" s="21">
        <f>ROUND(IF(IFERROR(PROPERTIES[[#This Row],[TE_COEFFICIENT_CALC]],0)=0,PROPERTIES[[#This Row],[TE_COEFFICIENT_MANUAL]],PROPERTIES[[#This Row],[TE_COEFFICIENT_CALC]]),3)</f>
        <v>0.29399999999999998</v>
      </c>
      <c r="X193" s="9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1">
        <v>0</v>
      </c>
      <c r="Z193" s="7">
        <v>0</v>
      </c>
      <c r="AA193" t="s">
        <v>239</v>
      </c>
      <c r="AB193" t="s">
        <v>240</v>
      </c>
      <c r="AC193" t="s">
        <v>238</v>
      </c>
      <c r="AD193" s="2" t="s">
        <v>238</v>
      </c>
      <c r="AE193" s="2" t="s">
        <v>253</v>
      </c>
      <c r="AF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3" s="2" t="str">
        <f>SUBSTITUTE(SUBSTITUTE(PROPERTIES[[#This Row],[PURCHASECOST_VALUE]], "PURCHASECOST_", ""), "_VALUE", "")</f>
        <v>DIESELENGINE</v>
      </c>
      <c r="AI193" s="7" t="str" cm="1">
        <f t="array" ref="AI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3" s="43" t="b">
        <v>0</v>
      </c>
      <c r="AK193" s="8" t="b">
        <v>0</v>
      </c>
      <c r="BB193"/>
      <c r="BC193"/>
      <c r="BD193"/>
    </row>
    <row r="194" spans="1:56">
      <c r="A194" s="2" t="s">
        <v>2911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5" t="str">
        <f>_xlfn.XLOOKUP(PROPERTIES[[#This Row],[VEHIDCODE]],CONTROL[VEHIDCODE],CONTROL[ENGLISH])</f>
        <v>EMD FL9</v>
      </c>
      <c r="F194" t="s">
        <v>796</v>
      </c>
      <c r="G194" s="45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8">
        <v>130</v>
      </c>
      <c r="R194">
        <v>1750</v>
      </c>
      <c r="S194">
        <v>144</v>
      </c>
      <c r="T194" s="25">
        <v>253.28</v>
      </c>
      <c r="U194" s="24">
        <f>IFERROR(PROPERTIES[[#This Row],[TE_STARTING_KN]]/(PROPERTIES[[#This Row],[WEIGHT]]*9.81),0)</f>
        <v>0.19860424998039677</v>
      </c>
      <c r="V194" s="24">
        <v>0</v>
      </c>
      <c r="W194" s="21">
        <f>ROUND(IF(IFERROR(PROPERTIES[[#This Row],[TE_COEFFICIENT_CALC]],0)=0,PROPERTIES[[#This Row],[TE_COEFFICIENT_MANUAL]],PROPERTIES[[#This Row],[TE_COEFFICIENT_CALC]]),3)</f>
        <v>0.19900000000000001</v>
      </c>
      <c r="X194" s="9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1">
        <v>0</v>
      </c>
      <c r="Z194" s="7">
        <v>0</v>
      </c>
      <c r="AA194" t="s">
        <v>244</v>
      </c>
      <c r="AB194" t="s">
        <v>238</v>
      </c>
      <c r="AC194" t="s">
        <v>238</v>
      </c>
      <c r="AD194" s="2" t="s">
        <v>238</v>
      </c>
      <c r="AE194" s="2" t="s">
        <v>253</v>
      </c>
      <c r="AF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4" s="2" t="str">
        <f>SUBSTITUTE(SUBSTITUTE(PROPERTIES[[#This Row],[PURCHASECOST_VALUE]], "PURCHASECOST_", ""), "_VALUE", "")</f>
        <v>DIESELENGINE</v>
      </c>
      <c r="AI194" s="7" t="str" cm="1">
        <f t="array" ref="AI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4" s="43" t="b">
        <v>0</v>
      </c>
      <c r="AK194" s="8" t="b">
        <v>0</v>
      </c>
      <c r="BB194"/>
      <c r="BC194"/>
      <c r="BD194"/>
    </row>
    <row r="195" spans="1:56">
      <c r="A195" s="2" t="s">
        <v>2912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5" t="str">
        <f>_xlfn.XLOOKUP(PROPERTIES[[#This Row],[VEHIDCODE]],CONTROL[VEHIDCODE],CONTROL[ENGLISH])</f>
        <v>CKD T 435.0</v>
      </c>
      <c r="F195" t="s">
        <v>622</v>
      </c>
      <c r="G195" s="45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8">
        <v>61</v>
      </c>
      <c r="R195">
        <v>740</v>
      </c>
      <c r="S195">
        <v>80</v>
      </c>
      <c r="T195" s="25">
        <v>160</v>
      </c>
      <c r="U195" s="24">
        <f>IFERROR(PROPERTIES[[#This Row],[TE_STARTING_KN]]/(PROPERTIES[[#This Row],[WEIGHT]]*9.81),0)</f>
        <v>0.2673752109757524</v>
      </c>
      <c r="V195" s="24">
        <v>0</v>
      </c>
      <c r="W195" s="21">
        <f>ROUND(IF(IFERROR(PROPERTIES[[#This Row],[TE_COEFFICIENT_CALC]],0)=0,PROPERTIES[[#This Row],[TE_COEFFICIENT_MANUAL]],PROPERTIES[[#This Row],[TE_COEFFICIENT_CALC]]),3)</f>
        <v>0.26700000000000002</v>
      </c>
      <c r="X195" s="9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1">
        <v>0</v>
      </c>
      <c r="Z195" s="7">
        <v>0</v>
      </c>
      <c r="AA195" t="s">
        <v>2013</v>
      </c>
      <c r="AB195" t="s">
        <v>239</v>
      </c>
      <c r="AC195" t="s">
        <v>238</v>
      </c>
      <c r="AD195" s="2" t="s">
        <v>238</v>
      </c>
      <c r="AE195" s="2" t="s">
        <v>253</v>
      </c>
      <c r="AF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5" s="2" t="str">
        <f>SUBSTITUTE(SUBSTITUTE(PROPERTIES[[#This Row],[PURCHASECOST_VALUE]], "PURCHASECOST_", ""), "_VALUE", "")</f>
        <v>DIESELENGINE</v>
      </c>
      <c r="AI195" s="7" t="str" cm="1">
        <f t="array" ref="AI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5" s="43" t="b">
        <v>0</v>
      </c>
      <c r="AK195" s="8" t="b">
        <v>0</v>
      </c>
      <c r="BB195"/>
      <c r="BC195"/>
      <c r="BD195"/>
    </row>
    <row r="196" spans="1:56">
      <c r="A196" s="2" t="s">
        <v>2913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5" t="str">
        <f>_xlfn.XLOOKUP(PROPERTIES[[#This Row],[VEHIDCODE]],CONTROL[VEHIDCODE],CONTROL[ENGLISH])</f>
        <v>Valmet/Lokomo Dr12</v>
      </c>
      <c r="F196" t="s">
        <v>636</v>
      </c>
      <c r="G196" s="45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8">
        <v>122</v>
      </c>
      <c r="R196">
        <v>1900</v>
      </c>
      <c r="S196">
        <v>120</v>
      </c>
      <c r="T196" s="25">
        <v>275</v>
      </c>
      <c r="U196" s="24">
        <f>IFERROR(PROPERTIES[[#This Row],[TE_STARTING_KN]]/(PROPERTIES[[#This Row],[WEIGHT]]*9.81),0)</f>
        <v>0.2297755719322872</v>
      </c>
      <c r="V196" s="24">
        <v>0</v>
      </c>
      <c r="W196" s="21">
        <f>ROUND(IF(IFERROR(PROPERTIES[[#This Row],[TE_COEFFICIENT_CALC]],0)=0,PROPERTIES[[#This Row],[TE_COEFFICIENT_MANUAL]],PROPERTIES[[#This Row],[TE_COEFFICIENT_CALC]]),3)</f>
        <v>0.23</v>
      </c>
      <c r="X196" s="9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1">
        <v>0</v>
      </c>
      <c r="Z196" s="7">
        <v>0</v>
      </c>
      <c r="AA196" t="s">
        <v>243</v>
      </c>
      <c r="AB196" t="s">
        <v>238</v>
      </c>
      <c r="AC196" t="s">
        <v>238</v>
      </c>
      <c r="AD196" s="2" t="s">
        <v>238</v>
      </c>
      <c r="AE196" s="2" t="s">
        <v>253</v>
      </c>
      <c r="AF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6" s="2" t="str">
        <f>SUBSTITUTE(SUBSTITUTE(PROPERTIES[[#This Row],[PURCHASECOST_VALUE]], "PURCHASECOST_", ""), "_VALUE", "")</f>
        <v>DIESELENGINE</v>
      </c>
      <c r="AI196" s="7" t="str" cm="1">
        <f t="array" ref="AI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6" s="43" t="b">
        <v>0</v>
      </c>
      <c r="AK196" s="8" t="b">
        <v>0</v>
      </c>
      <c r="BB196"/>
      <c r="BC196"/>
      <c r="BD196"/>
    </row>
    <row r="197" spans="1:56">
      <c r="A197" s="2" t="s">
        <v>2914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5" t="str">
        <f>_xlfn.XLOOKUP(PROPERTIES[[#This Row],[VEHIDCODE]],CONTROL[VEHIDCODE],CONTROL[ENGLISH])</f>
        <v>Electroputre 060-DA</v>
      </c>
      <c r="F197" t="s">
        <v>753</v>
      </c>
      <c r="G197" s="45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8">
        <v>116</v>
      </c>
      <c r="R197">
        <v>2070</v>
      </c>
      <c r="S197">
        <v>100</v>
      </c>
      <c r="T197" s="25">
        <v>0</v>
      </c>
      <c r="U197" s="24">
        <f>IFERROR(PROPERTIES[[#This Row],[TE_STARTING_KN]]/(PROPERTIES[[#This Row],[WEIGHT]]*9.81),0)</f>
        <v>0</v>
      </c>
      <c r="V197" s="24">
        <v>0.27</v>
      </c>
      <c r="W197" s="21">
        <f>ROUND(IF(IFERROR(PROPERTIES[[#This Row],[TE_COEFFICIENT_CALC]],0)=0,PROPERTIES[[#This Row],[TE_COEFFICIENT_MANUAL]],PROPERTIES[[#This Row],[TE_COEFFICIENT_CALC]]),3)</f>
        <v>0.27</v>
      </c>
      <c r="X197" s="9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1">
        <v>0</v>
      </c>
      <c r="Z197" s="7">
        <v>0</v>
      </c>
      <c r="AA197" t="s">
        <v>2013</v>
      </c>
      <c r="AB197" t="s">
        <v>240</v>
      </c>
      <c r="AC197" t="s">
        <v>239</v>
      </c>
      <c r="AD197" s="2" t="s">
        <v>238</v>
      </c>
      <c r="AE197" s="2" t="s">
        <v>253</v>
      </c>
      <c r="AF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7" s="2" t="str">
        <f>SUBSTITUTE(SUBSTITUTE(PROPERTIES[[#This Row],[PURCHASECOST_VALUE]], "PURCHASECOST_", ""), "_VALUE", "")</f>
        <v>DIESELENGINE</v>
      </c>
      <c r="AI197" s="7" t="str" cm="1">
        <f t="array" ref="AI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7" s="43" t="b">
        <v>0</v>
      </c>
      <c r="AK197" s="8" t="b">
        <v>0</v>
      </c>
      <c r="BB197"/>
      <c r="BC197"/>
      <c r="BD197"/>
    </row>
    <row r="198" spans="1:56">
      <c r="A198" s="2" t="s">
        <v>2915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5" t="str">
        <f>_xlfn.XLOOKUP(PROPERTIES[[#This Row],[VEHIDCODE]],CONTROL[VEHIDCODE],CONTROL[ENGLISH])</f>
        <v>EMD GL8</v>
      </c>
      <c r="F198" t="s">
        <v>796</v>
      </c>
      <c r="G198" s="45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8">
        <v>64</v>
      </c>
      <c r="R198">
        <v>875</v>
      </c>
      <c r="S198">
        <v>124</v>
      </c>
      <c r="T198" s="25">
        <v>152</v>
      </c>
      <c r="U198" s="24">
        <f>IFERROR(PROPERTIES[[#This Row],[TE_STARTING_KN]]/(PROPERTIES[[#This Row],[WEIGHT]]*9.81),0)</f>
        <v>0.24209989806320081</v>
      </c>
      <c r="V198" s="24">
        <v>0</v>
      </c>
      <c r="W198" s="21">
        <f>ROUND(IF(IFERROR(PROPERTIES[[#This Row],[TE_COEFFICIENT_CALC]],0)=0,PROPERTIES[[#This Row],[TE_COEFFICIENT_MANUAL]],PROPERTIES[[#This Row],[TE_COEFFICIENT_CALC]]),3)</f>
        <v>0.24199999999999999</v>
      </c>
      <c r="X198" s="9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1">
        <v>0</v>
      </c>
      <c r="Z198" s="7">
        <v>0</v>
      </c>
      <c r="AA198" t="s">
        <v>246</v>
      </c>
      <c r="AB198" t="s">
        <v>2012</v>
      </c>
      <c r="AC198" t="s">
        <v>242</v>
      </c>
      <c r="AD198" s="2" t="s">
        <v>243</v>
      </c>
      <c r="AE198" s="2" t="s">
        <v>253</v>
      </c>
      <c r="AF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8" s="2" t="str">
        <f>SUBSTITUTE(SUBSTITUTE(PROPERTIES[[#This Row],[PURCHASECOST_VALUE]], "PURCHASECOST_", ""), "_VALUE", "")</f>
        <v>DIESELENGINE</v>
      </c>
      <c r="AI198" s="7" t="str" cm="1">
        <f t="array" ref="AI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8" s="43" t="b">
        <v>0</v>
      </c>
      <c r="AK198" s="8" t="b">
        <v>0</v>
      </c>
      <c r="BB198"/>
      <c r="BC198"/>
      <c r="BD198"/>
    </row>
    <row r="199" spans="1:56">
      <c r="A199" s="2" t="s">
        <v>2916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5" t="str">
        <f>_xlfn.XLOOKUP(PROPERTIES[[#This Row],[VEHIDCODE]],CONTROL[VEHIDCODE],CONTROL[ENGLISH])</f>
        <v>Krauss-Maffei ML 4000</v>
      </c>
      <c r="F199" t="s">
        <v>597</v>
      </c>
      <c r="G199" s="45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8">
        <v>156</v>
      </c>
      <c r="R199">
        <v>3540</v>
      </c>
      <c r="S199">
        <v>110</v>
      </c>
      <c r="T199" s="25">
        <v>400</v>
      </c>
      <c r="U199" s="24">
        <f>IFERROR(PROPERTIES[[#This Row],[TE_STARTING_KN]]/(PROPERTIES[[#This Row],[WEIGHT]]*9.81),0)</f>
        <v>0.26137640816539898</v>
      </c>
      <c r="V199" s="24">
        <v>0</v>
      </c>
      <c r="W199" s="21">
        <f>ROUND(IF(IFERROR(PROPERTIES[[#This Row],[TE_COEFFICIENT_CALC]],0)=0,PROPERTIES[[#This Row],[TE_COEFFICIENT_MANUAL]],PROPERTIES[[#This Row],[TE_COEFFICIENT_CALC]]),3)</f>
        <v>0.26100000000000001</v>
      </c>
      <c r="X199" s="9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1">
        <v>0</v>
      </c>
      <c r="Z199" s="7">
        <v>0</v>
      </c>
      <c r="AA199" t="s">
        <v>249</v>
      </c>
      <c r="AB199" t="s">
        <v>238</v>
      </c>
      <c r="AC199" t="s">
        <v>238</v>
      </c>
      <c r="AD199" s="2" t="s">
        <v>238</v>
      </c>
      <c r="AE199" s="2" t="s">
        <v>253</v>
      </c>
      <c r="AF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9" s="2" t="str">
        <f>SUBSTITUTE(SUBSTITUTE(PROPERTIES[[#This Row],[PURCHASECOST_VALUE]], "PURCHASECOST_", ""), "_VALUE", "")</f>
        <v>DIESELENGINE</v>
      </c>
      <c r="AI199" s="7" t="str" cm="1">
        <f t="array" ref="AI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99" s="43" t="b">
        <v>0</v>
      </c>
      <c r="AK199" s="8" t="b">
        <v>0</v>
      </c>
      <c r="BB199"/>
      <c r="BC199"/>
      <c r="BD199"/>
    </row>
    <row r="200" spans="1:56">
      <c r="A200" s="2" t="s">
        <v>2917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5" t="str">
        <f>_xlfn.XLOOKUP(PROPERTIES[[#This Row],[VEHIDCODE]],CONTROL[VEHIDCODE],CONTROL[ENGLISH])</f>
        <v>Kolomna TEP60</v>
      </c>
      <c r="F200" t="s">
        <v>755</v>
      </c>
      <c r="G200" s="45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8">
        <v>130</v>
      </c>
      <c r="R200">
        <v>2960</v>
      </c>
      <c r="S200">
        <v>160</v>
      </c>
      <c r="T200" s="25">
        <v>245</v>
      </c>
      <c r="U200" s="24">
        <f>IFERROR(PROPERTIES[[#This Row],[TE_STARTING_KN]]/(PROPERTIES[[#This Row],[WEIGHT]]*9.81),0)</f>
        <v>0.19211166000156826</v>
      </c>
      <c r="V200" s="24">
        <v>0</v>
      </c>
      <c r="W200" s="21">
        <f>ROUND(IF(IFERROR(PROPERTIES[[#This Row],[TE_COEFFICIENT_CALC]],0)=0,PROPERTIES[[#This Row],[TE_COEFFICIENT_MANUAL]],PROPERTIES[[#This Row],[TE_COEFFICIENT_CALC]]),3)</f>
        <v>0.192</v>
      </c>
      <c r="X200" s="9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1">
        <v>0</v>
      </c>
      <c r="Z200" s="7">
        <v>0</v>
      </c>
      <c r="AA200" t="s">
        <v>2016</v>
      </c>
      <c r="AB200" t="s">
        <v>238</v>
      </c>
      <c r="AC200" t="s">
        <v>238</v>
      </c>
      <c r="AD200" s="2" t="s">
        <v>238</v>
      </c>
      <c r="AE200" s="2" t="s">
        <v>253</v>
      </c>
      <c r="AF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0" s="2" t="str">
        <f>SUBSTITUTE(SUBSTITUTE(PROPERTIES[[#This Row],[PURCHASECOST_VALUE]], "PURCHASECOST_", ""), "_VALUE", "")</f>
        <v>DIESELENGINE</v>
      </c>
      <c r="AI200" s="7" t="str" cm="1">
        <f t="array" ref="AI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00" s="43" t="b">
        <v>0</v>
      </c>
      <c r="AK200" s="8" t="b">
        <v>0</v>
      </c>
      <c r="BB200"/>
      <c r="BC200"/>
      <c r="BD200"/>
    </row>
    <row r="201" spans="1:56">
      <c r="A201" s="2" t="s">
        <v>2918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5" t="str">
        <f>_xlfn.XLOOKUP(PROPERTIES[[#This Row],[VEHIDCODE]],CONTROL[VEHIDCODE],CONTROL[ENGLISH])</f>
        <v>BN/ACEC 62</v>
      </c>
      <c r="F201" t="s">
        <v>587</v>
      </c>
      <c r="G201" s="45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8">
        <v>78.599999999999994</v>
      </c>
      <c r="R201">
        <v>1380</v>
      </c>
      <c r="S201">
        <v>120</v>
      </c>
      <c r="T201" s="25">
        <v>212</v>
      </c>
      <c r="U201" s="24">
        <f>IFERROR(PROPERTIES[[#This Row],[TE_STARTING_KN]]/(PROPERTIES[[#This Row],[WEIGHT]]*9.81),0)</f>
        <v>0.27494403851291588</v>
      </c>
      <c r="V201" s="24">
        <v>0</v>
      </c>
      <c r="W201" s="21">
        <f>ROUND(IF(IFERROR(PROPERTIES[[#This Row],[TE_COEFFICIENT_CALC]],0)=0,PROPERTIES[[#This Row],[TE_COEFFICIENT_MANUAL]],PROPERTIES[[#This Row],[TE_COEFFICIENT_CALC]]),3)</f>
        <v>0.27500000000000002</v>
      </c>
      <c r="X201" s="9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1">
        <v>0</v>
      </c>
      <c r="Z201" s="7">
        <v>0</v>
      </c>
      <c r="AA201" t="s">
        <v>239</v>
      </c>
      <c r="AB201" t="s">
        <v>238</v>
      </c>
      <c r="AC201" t="s">
        <v>238</v>
      </c>
      <c r="AD201" s="2" t="s">
        <v>238</v>
      </c>
      <c r="AE201" s="2" t="s">
        <v>253</v>
      </c>
      <c r="AF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1" s="2" t="str">
        <f>SUBSTITUTE(SUBSTITUTE(PROPERTIES[[#This Row],[PURCHASECOST_VALUE]], "PURCHASECOST_", ""), "_VALUE", "")</f>
        <v>DIESELENGINE</v>
      </c>
      <c r="AI201" s="7" t="str" cm="1">
        <f t="array" ref="AI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1" s="43" t="b">
        <v>0</v>
      </c>
      <c r="AK201" s="8" t="b">
        <v>0</v>
      </c>
      <c r="BB201"/>
      <c r="BC201"/>
      <c r="BD201"/>
    </row>
    <row r="202" spans="1:56">
      <c r="A202" s="2" t="s">
        <v>2919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5" t="str">
        <f>_xlfn.XLOOKUP(PROPERTIES[[#This Row],[VEHIDCODE]],CONTROL[VEHIDCODE],CONTROL[ENGLISH])</f>
        <v>MaK 100</v>
      </c>
      <c r="F202" t="s">
        <v>625</v>
      </c>
      <c r="G202" s="45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8">
        <v>45</v>
      </c>
      <c r="R202">
        <v>334</v>
      </c>
      <c r="S202">
        <v>60</v>
      </c>
      <c r="T202" s="25">
        <v>110</v>
      </c>
      <c r="U202" s="24">
        <f>IFERROR(PROPERTIES[[#This Row],[TE_STARTING_KN]]/(PROPERTIES[[#This Row],[WEIGHT]]*9.81),0)</f>
        <v>0.24917884245101368</v>
      </c>
      <c r="V202" s="24">
        <v>0</v>
      </c>
      <c r="W202" s="21">
        <f>ROUND(IF(IFERROR(PROPERTIES[[#This Row],[TE_COEFFICIENT_CALC]],0)=0,PROPERTIES[[#This Row],[TE_COEFFICIENT_MANUAL]],PROPERTIES[[#This Row],[TE_COEFFICIENT_CALC]]),3)</f>
        <v>0.249</v>
      </c>
      <c r="X202" s="9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1">
        <v>0</v>
      </c>
      <c r="Z202" s="7">
        <v>0</v>
      </c>
      <c r="AA202" t="s">
        <v>243</v>
      </c>
      <c r="AB202" t="s">
        <v>238</v>
      </c>
      <c r="AC202" t="s">
        <v>238</v>
      </c>
      <c r="AD202" s="2" t="s">
        <v>238</v>
      </c>
      <c r="AE202" s="2" t="s">
        <v>253</v>
      </c>
      <c r="AF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2" s="2" t="str">
        <f>SUBSTITUTE(SUBSTITUTE(PROPERTIES[[#This Row],[PURCHASECOST_VALUE]], "PURCHASECOST_", ""), "_VALUE", "")</f>
        <v>DIESELENGINE</v>
      </c>
      <c r="AI202" s="7" t="str" cm="1">
        <f t="array" ref="AI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02" s="43" t="b">
        <v>0</v>
      </c>
      <c r="AK202" s="8" t="b">
        <v>0</v>
      </c>
      <c r="BB202"/>
      <c r="BC202"/>
      <c r="BD202"/>
    </row>
    <row r="203" spans="1:56">
      <c r="A203" s="2" t="s">
        <v>2920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5" t="str">
        <f>_xlfn.XLOOKUP(PROPERTIES[[#This Row],[VEHIDCODE]],CONTROL[VEHIDCODE],CONTROL[ENGLISH])</f>
        <v>ALCO DL560C 'WDM-2'</v>
      </c>
      <c r="F203" t="s">
        <v>670</v>
      </c>
      <c r="G203" s="45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8">
        <v>113</v>
      </c>
      <c r="R203">
        <v>2400</v>
      </c>
      <c r="S203">
        <v>120</v>
      </c>
      <c r="T203" s="25">
        <v>300</v>
      </c>
      <c r="U203" s="24">
        <f>IFERROR(PROPERTIES[[#This Row],[TE_STARTING_KN]]/(PROPERTIES[[#This Row],[WEIGHT]]*9.81),0)</f>
        <v>0.27062867040134231</v>
      </c>
      <c r="V203" s="24">
        <v>0</v>
      </c>
      <c r="W203" s="21">
        <f>ROUND(IF(IFERROR(PROPERTIES[[#This Row],[TE_COEFFICIENT_CALC]],0)=0,PROPERTIES[[#This Row],[TE_COEFFICIENT_MANUAL]],PROPERTIES[[#This Row],[TE_COEFFICIENT_CALC]]),3)</f>
        <v>0.27100000000000002</v>
      </c>
      <c r="X203" s="9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1">
        <v>0</v>
      </c>
      <c r="Z203" s="7">
        <v>0</v>
      </c>
      <c r="AA203" t="s">
        <v>247</v>
      </c>
      <c r="AB203" t="s">
        <v>238</v>
      </c>
      <c r="AC203" t="s">
        <v>238</v>
      </c>
      <c r="AD203" s="2" t="s">
        <v>238</v>
      </c>
      <c r="AE203" s="2" t="s">
        <v>253</v>
      </c>
      <c r="AF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3" s="2" t="str">
        <f>SUBSTITUTE(SUBSTITUTE(PROPERTIES[[#This Row],[PURCHASECOST_VALUE]], "PURCHASECOST_", ""), "_VALUE", "")</f>
        <v>DIESELENGINE</v>
      </c>
      <c r="AI203" s="7" t="str" cm="1">
        <f t="array" ref="AI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3" s="43" t="b">
        <v>0</v>
      </c>
      <c r="AK203" s="8" t="b">
        <v>0</v>
      </c>
      <c r="BB203"/>
      <c r="BC203"/>
      <c r="BD203"/>
    </row>
    <row r="204" spans="1:56">
      <c r="A204" s="2" t="s">
        <v>2921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5" t="str">
        <f>_xlfn.XLOOKUP(PROPERTIES[[#This Row],[VEHIDCODE]],CONTROL[VEHIDCODE],CONTROL[ENGLISH])</f>
        <v>BR 14 0-6-0DH</v>
      </c>
      <c r="F204" t="s">
        <v>642</v>
      </c>
      <c r="G204" s="45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8">
        <v>49</v>
      </c>
      <c r="R204">
        <v>650</v>
      </c>
      <c r="S204">
        <v>64</v>
      </c>
      <c r="T204" s="25">
        <v>137.5</v>
      </c>
      <c r="U204" s="24">
        <f>IFERROR(PROPERTIES[[#This Row],[TE_STARTING_KN]]/(PROPERTIES[[#This Row],[WEIGHT]]*9.81),0)</f>
        <v>0.28604714056876573</v>
      </c>
      <c r="V204" s="24">
        <v>0</v>
      </c>
      <c r="W204" s="21">
        <f>ROUND(IF(IFERROR(PROPERTIES[[#This Row],[TE_COEFFICIENT_CALC]],0)=0,PROPERTIES[[#This Row],[TE_COEFFICIENT_MANUAL]],PROPERTIES[[#This Row],[TE_COEFFICIENT_CALC]]),3)</f>
        <v>0.28599999999999998</v>
      </c>
      <c r="X204" s="9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1">
        <v>0</v>
      </c>
      <c r="Z204" s="7">
        <v>0</v>
      </c>
      <c r="AA204" t="s">
        <v>243</v>
      </c>
      <c r="AB204" t="s">
        <v>238</v>
      </c>
      <c r="AC204" t="s">
        <v>238</v>
      </c>
      <c r="AD204" s="2" t="s">
        <v>238</v>
      </c>
      <c r="AE204" s="2" t="s">
        <v>253</v>
      </c>
      <c r="AF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4" s="2" t="str">
        <f>SUBSTITUTE(SUBSTITUTE(PROPERTIES[[#This Row],[PURCHASECOST_VALUE]], "PURCHASECOST_", ""), "_VALUE", "")</f>
        <v>DIESELENGINE</v>
      </c>
      <c r="AI204" s="7" t="str" cm="1">
        <f t="array" ref="AI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4" s="43" t="b">
        <v>0</v>
      </c>
      <c r="AK204" s="8" t="b">
        <v>0</v>
      </c>
      <c r="BB204"/>
      <c r="BC204"/>
      <c r="BD204"/>
    </row>
    <row r="205" spans="1:56">
      <c r="A205" s="2" t="s">
        <v>2922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5" t="str">
        <f>_xlfn.XLOOKUP(PROPERTIES[[#This Row],[VEHIDCODE]],CONTROL[VEHIDCODE],CONTROL[ENGLISH])</f>
        <v>CKD T-669</v>
      </c>
      <c r="F205" t="s">
        <v>755</v>
      </c>
      <c r="G205" s="45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8">
        <v>126</v>
      </c>
      <c r="R205">
        <v>1250</v>
      </c>
      <c r="S205">
        <v>95</v>
      </c>
      <c r="T205" s="25">
        <v>362</v>
      </c>
      <c r="U205" s="24">
        <f>IFERROR(PROPERTIES[[#This Row],[TE_STARTING_KN]]/(PROPERTIES[[#This Row],[WEIGHT]]*9.81),0)</f>
        <v>0.29286604210151607</v>
      </c>
      <c r="V205" s="24">
        <v>0</v>
      </c>
      <c r="W205" s="21">
        <f>ROUND(IF(IFERROR(PROPERTIES[[#This Row],[TE_COEFFICIENT_CALC]],0)=0,PROPERTIES[[#This Row],[TE_COEFFICIENT_MANUAL]],PROPERTIES[[#This Row],[TE_COEFFICIENT_CALC]]),3)</f>
        <v>0.29299999999999998</v>
      </c>
      <c r="X205" s="9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1">
        <v>0</v>
      </c>
      <c r="Z205" s="7">
        <v>0</v>
      </c>
      <c r="AA205" t="s">
        <v>2016</v>
      </c>
      <c r="AB205" t="s">
        <v>238</v>
      </c>
      <c r="AC205" t="s">
        <v>238</v>
      </c>
      <c r="AD205" s="2" t="s">
        <v>238</v>
      </c>
      <c r="AE205" s="2" t="s">
        <v>253</v>
      </c>
      <c r="AF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5" s="2" t="str">
        <f>SUBSTITUTE(SUBSTITUTE(PROPERTIES[[#This Row],[PURCHASECOST_VALUE]], "PURCHASECOST_", ""), "_VALUE", "")</f>
        <v>DIESELENGINE</v>
      </c>
      <c r="AI205" s="7" t="str" cm="1">
        <f t="array" ref="AI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5" s="43" t="b">
        <v>0</v>
      </c>
      <c r="AK205" s="8" t="b">
        <v>0</v>
      </c>
      <c r="BB205"/>
      <c r="BC205"/>
      <c r="BD205"/>
    </row>
    <row r="206" spans="1:56">
      <c r="A206" s="2" t="s">
        <v>2923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5" t="str">
        <f>_xlfn.XLOOKUP(PROPERTIES[[#This Row],[VEHIDCODE]],CONTROL[VEHIDCODE],CONTROL[ENGLISH])</f>
        <v>UGOFE GM-EMD J16CW/AC</v>
      </c>
      <c r="F206" t="s">
        <v>577</v>
      </c>
      <c r="G206" s="45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8">
        <v>112</v>
      </c>
      <c r="R206">
        <v>1870</v>
      </c>
      <c r="S206">
        <v>120</v>
      </c>
      <c r="T206" s="25">
        <v>255</v>
      </c>
      <c r="U206" s="24">
        <f>IFERROR(PROPERTIES[[#This Row],[TE_STARTING_KN]]/(PROPERTIES[[#This Row],[WEIGHT]]*9.81),0)</f>
        <v>0.23208824814329401</v>
      </c>
      <c r="V206" s="24">
        <v>0</v>
      </c>
      <c r="W206" s="21">
        <f>ROUND(IF(IFERROR(PROPERTIES[[#This Row],[TE_COEFFICIENT_CALC]],0)=0,PROPERTIES[[#This Row],[TE_COEFFICIENT_MANUAL]],PROPERTIES[[#This Row],[TE_COEFFICIENT_CALC]]),3)</f>
        <v>0.23200000000000001</v>
      </c>
      <c r="X206" s="9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1">
        <v>0</v>
      </c>
      <c r="Z206" s="7">
        <v>0</v>
      </c>
      <c r="AA206" t="s">
        <v>246</v>
      </c>
      <c r="AB206" t="s">
        <v>238</v>
      </c>
      <c r="AC206" t="s">
        <v>238</v>
      </c>
      <c r="AD206" s="2" t="s">
        <v>238</v>
      </c>
      <c r="AE206" s="2" t="s">
        <v>253</v>
      </c>
      <c r="AF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6" s="2" t="str">
        <f>SUBSTITUTE(SUBSTITUTE(PROPERTIES[[#This Row],[PURCHASECOST_VALUE]], "PURCHASECOST_", ""), "_VALUE", "")</f>
        <v>DIESELENGINE</v>
      </c>
      <c r="AI206" s="7" t="str" cm="1">
        <f t="array" ref="AI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6" s="43" t="b">
        <v>0</v>
      </c>
      <c r="AK206" s="8" t="b">
        <v>0</v>
      </c>
      <c r="BB206"/>
      <c r="BC206"/>
      <c r="BD206"/>
    </row>
    <row r="207" spans="1:56">
      <c r="A207" s="2" t="s">
        <v>2924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5" t="str">
        <f>_xlfn.XLOOKUP(PROPERTIES[[#This Row],[VEHIDCODE]],CONTROL[VEHIDCODE],CONTROL[ENGLISH])</f>
        <v>LTZ M62</v>
      </c>
      <c r="F207" t="s">
        <v>755</v>
      </c>
      <c r="G207" s="45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8">
        <v>116</v>
      </c>
      <c r="R207">
        <v>1970</v>
      </c>
      <c r="S207">
        <v>100</v>
      </c>
      <c r="T207" s="25">
        <v>314</v>
      </c>
      <c r="U207" s="24">
        <f>IFERROR(PROPERTIES[[#This Row],[TE_STARTING_KN]]/(PROPERTIES[[#This Row],[WEIGHT]]*9.81),0)</f>
        <v>0.27593237020633415</v>
      </c>
      <c r="V207" s="24">
        <v>0</v>
      </c>
      <c r="W207" s="21">
        <f>ROUND(IF(IFERROR(PROPERTIES[[#This Row],[TE_COEFFICIENT_CALC]],0)=0,PROPERTIES[[#This Row],[TE_COEFFICIENT_MANUAL]],PROPERTIES[[#This Row],[TE_COEFFICIENT_CALC]]),3)</f>
        <v>0.27600000000000002</v>
      </c>
      <c r="X207" s="9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1">
        <v>0</v>
      </c>
      <c r="Z207" s="7">
        <v>0</v>
      </c>
      <c r="AA207" t="s">
        <v>2016</v>
      </c>
      <c r="AB207" t="s">
        <v>246</v>
      </c>
      <c r="AC207" t="s">
        <v>238</v>
      </c>
      <c r="AD207" s="2" t="s">
        <v>238</v>
      </c>
      <c r="AE207" s="2" t="s">
        <v>253</v>
      </c>
      <c r="AF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7" s="2" t="str">
        <f>SUBSTITUTE(SUBSTITUTE(PROPERTIES[[#This Row],[PURCHASECOST_VALUE]], "PURCHASECOST_", ""), "_VALUE", "")</f>
        <v>DIESELENGINE</v>
      </c>
      <c r="AI207" s="7" t="str" cm="1">
        <f t="array" ref="AI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7" s="43" t="b">
        <v>0</v>
      </c>
      <c r="AK207" s="8" t="b">
        <v>0</v>
      </c>
      <c r="BB207"/>
      <c r="BC207"/>
      <c r="BD207"/>
    </row>
    <row r="208" spans="1:56">
      <c r="A208" s="2" t="s">
        <v>2925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5" t="str">
        <f>_xlfn.XLOOKUP(PROPERTIES[[#This Row],[VEHIDCODE]],CONTROL[VEHIDCODE],CONTROL[ENGLISH])</f>
        <v>EMD/Clyde J26C</v>
      </c>
      <c r="F208" t="s">
        <v>580</v>
      </c>
      <c r="G208" s="45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8">
        <v>110</v>
      </c>
      <c r="R208">
        <v>2000</v>
      </c>
      <c r="S208">
        <v>124</v>
      </c>
      <c r="T208" s="25">
        <v>315.47000000000003</v>
      </c>
      <c r="U208" s="24">
        <f>IFERROR(PROPERTIES[[#This Row],[TE_STARTING_KN]]/(PROPERTIES[[#This Row],[WEIGHT]]*9.81),0)</f>
        <v>0.29234547307941799</v>
      </c>
      <c r="V208" s="24">
        <v>0</v>
      </c>
      <c r="W208" s="21">
        <f>ROUND(IF(IFERROR(PROPERTIES[[#This Row],[TE_COEFFICIENT_CALC]],0)=0,PROPERTIES[[#This Row],[TE_COEFFICIENT_MANUAL]],PROPERTIES[[#This Row],[TE_COEFFICIENT_CALC]]),3)</f>
        <v>0.29199999999999998</v>
      </c>
      <c r="X208" s="9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1">
        <v>0</v>
      </c>
      <c r="Z208" s="7">
        <v>0</v>
      </c>
      <c r="AA208" t="s">
        <v>241</v>
      </c>
      <c r="AB208" t="s">
        <v>238</v>
      </c>
      <c r="AC208" t="s">
        <v>238</v>
      </c>
      <c r="AD208" s="2" t="s">
        <v>238</v>
      </c>
      <c r="AE208" s="2" t="s">
        <v>253</v>
      </c>
      <c r="AF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8" s="2" t="str">
        <f>SUBSTITUTE(SUBSTITUTE(PROPERTIES[[#This Row],[PURCHASECOST_VALUE]], "PURCHASECOST_", ""), "_VALUE", "")</f>
        <v>DIESELENGINE</v>
      </c>
      <c r="AI208" s="7" t="str" cm="1">
        <f t="array" ref="AI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8" s="43" t="b">
        <v>0</v>
      </c>
      <c r="AK208" s="8" t="b">
        <v>0</v>
      </c>
      <c r="BB208"/>
      <c r="BC208"/>
      <c r="BD208"/>
    </row>
    <row r="209" spans="1:56">
      <c r="A209" s="2" t="s">
        <v>2926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5" t="str">
        <f>_xlfn.XLOOKUP(PROPERTIES[[#This Row],[VEHIDCODE]],CONTROL[VEHIDCODE],CONTROL[ENGLISH])</f>
        <v>GE G22</v>
      </c>
      <c r="F209" t="s">
        <v>631</v>
      </c>
      <c r="G209" s="45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8">
        <v>108</v>
      </c>
      <c r="R209">
        <v>1650</v>
      </c>
      <c r="S209">
        <v>110</v>
      </c>
      <c r="T209" s="25">
        <v>265</v>
      </c>
      <c r="U209" s="24">
        <f>IFERROR(PROPERTIES[[#This Row],[TE_STARTING_KN]]/(PROPERTIES[[#This Row],[WEIGHT]]*9.81),0)</f>
        <v>0.25012270170272211</v>
      </c>
      <c r="V209" s="24">
        <v>0</v>
      </c>
      <c r="W209" s="21">
        <f>ROUND(IF(IFERROR(PROPERTIES[[#This Row],[TE_COEFFICIENT_CALC]],0)=0,PROPERTIES[[#This Row],[TE_COEFFICIENT_MANUAL]],PROPERTIES[[#This Row],[TE_COEFFICIENT_CALC]]),3)</f>
        <v>0.25</v>
      </c>
      <c r="X209" s="9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1">
        <v>0</v>
      </c>
      <c r="Z209" s="7">
        <v>0</v>
      </c>
      <c r="AA209" t="s">
        <v>242</v>
      </c>
      <c r="AB209" t="s">
        <v>243</v>
      </c>
      <c r="AC209" t="s">
        <v>247</v>
      </c>
      <c r="AD209" s="2" t="s">
        <v>238</v>
      </c>
      <c r="AE209" s="2" t="s">
        <v>253</v>
      </c>
      <c r="AF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9" s="2" t="str">
        <f>SUBSTITUTE(SUBSTITUTE(PROPERTIES[[#This Row],[PURCHASECOST_VALUE]], "PURCHASECOST_", ""), "_VALUE", "")</f>
        <v>DIESELENGINE</v>
      </c>
      <c r="AI209" s="7" t="str" cm="1">
        <f t="array" ref="AI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9" s="43" t="b">
        <v>0</v>
      </c>
      <c r="AK209" s="8" t="b">
        <v>0</v>
      </c>
      <c r="BB209"/>
      <c r="BC209"/>
      <c r="BD209"/>
    </row>
    <row r="210" spans="1:56">
      <c r="A210" s="2" t="s">
        <v>2927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5" t="str">
        <f>_xlfn.XLOOKUP(PROPERTIES[[#This Row],[VEHIDCODE]],CONTROL[VEHIDCODE],CONTROL[ENGLISH])</f>
        <v>EMD DDA40X</v>
      </c>
      <c r="F210" t="s">
        <v>796</v>
      </c>
      <c r="G210" s="45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8">
        <v>247</v>
      </c>
      <c r="R210">
        <v>6600</v>
      </c>
      <c r="S210">
        <v>144</v>
      </c>
      <c r="T210" s="25">
        <v>506.8</v>
      </c>
      <c r="U210" s="24">
        <f>IFERROR(PROPERTIES[[#This Row],[TE_STARTING_KN]]/(PROPERTIES[[#This Row],[WEIGHT]]*9.81),0)</f>
        <v>0.20915615314456454</v>
      </c>
      <c r="V210" s="24">
        <v>0</v>
      </c>
      <c r="W210" s="21">
        <f>ROUND(IF(IFERROR(PROPERTIES[[#This Row],[TE_COEFFICIENT_CALC]],0)=0,PROPERTIES[[#This Row],[TE_COEFFICIENT_MANUAL]],PROPERTIES[[#This Row],[TE_COEFFICIENT_CALC]]),3)</f>
        <v>0.20899999999999999</v>
      </c>
      <c r="X210" s="9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1">
        <v>0</v>
      </c>
      <c r="Z210" s="7">
        <v>2</v>
      </c>
      <c r="AA210" t="s">
        <v>244</v>
      </c>
      <c r="AB210" t="s">
        <v>238</v>
      </c>
      <c r="AC210" t="s">
        <v>238</v>
      </c>
      <c r="AD210" s="2" t="s">
        <v>238</v>
      </c>
      <c r="AE210" s="2" t="s">
        <v>253</v>
      </c>
      <c r="AF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0" s="2" t="str">
        <f>SUBSTITUTE(SUBSTITUTE(PROPERTIES[[#This Row],[PURCHASECOST_VALUE]], "PURCHASECOST_", ""), "_VALUE", "")</f>
        <v>DIESELENGINE</v>
      </c>
      <c r="AI210" s="7" t="str" cm="1">
        <f t="array" ref="AI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0" s="43" t="b">
        <v>0</v>
      </c>
      <c r="AK210" s="8" t="b">
        <v>0</v>
      </c>
      <c r="BB210"/>
      <c r="BC210"/>
      <c r="BD210"/>
    </row>
    <row r="211" spans="1:56">
      <c r="A211" s="2" t="s">
        <v>2928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5" t="str">
        <f>_xlfn.XLOOKUP(PROPERTIES[[#This Row],[VEHIDCODE]],CONTROL[VEHIDCODE],CONTROL[ENGLISH])</f>
        <v>EMD/Clyde GL26C</v>
      </c>
      <c r="F211" t="s">
        <v>580</v>
      </c>
      <c r="G211" s="45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8">
        <v>98</v>
      </c>
      <c r="R211">
        <v>2000</v>
      </c>
      <c r="S211">
        <v>80</v>
      </c>
      <c r="T211" s="25">
        <v>286</v>
      </c>
      <c r="U211" s="24">
        <f>IFERROR(PROPERTIES[[#This Row],[TE_STARTING_KN]]/(PROPERTIES[[#This Row],[WEIGHT]]*9.81),0)</f>
        <v>0.29748902619151635</v>
      </c>
      <c r="V211" s="24">
        <v>0</v>
      </c>
      <c r="W211" s="21">
        <f>ROUND(IF(IFERROR(PROPERTIES[[#This Row],[TE_COEFFICIENT_CALC]],0)=0,PROPERTIES[[#This Row],[TE_COEFFICIENT_MANUAL]],PROPERTIES[[#This Row],[TE_COEFFICIENT_CALC]]),3)</f>
        <v>0.29699999999999999</v>
      </c>
      <c r="X211" s="9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1">
        <v>0</v>
      </c>
      <c r="Z211" s="7">
        <v>0</v>
      </c>
      <c r="AA211" t="s">
        <v>241</v>
      </c>
      <c r="AB211" t="s">
        <v>238</v>
      </c>
      <c r="AC211" t="s">
        <v>238</v>
      </c>
      <c r="AD211" s="2" t="s">
        <v>238</v>
      </c>
      <c r="AE211" s="2" t="s">
        <v>253</v>
      </c>
      <c r="AF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1" s="2" t="str">
        <f>SUBSTITUTE(SUBSTITUTE(PROPERTIES[[#This Row],[PURCHASECOST_VALUE]], "PURCHASECOST_", ""), "_VALUE", "")</f>
        <v>DIESELENGINE</v>
      </c>
      <c r="AI211" s="7" t="str" cm="1">
        <f t="array" ref="AI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1" s="43" t="b">
        <v>0</v>
      </c>
      <c r="AK211" s="8" t="b">
        <v>0</v>
      </c>
      <c r="BB211"/>
      <c r="BC211"/>
      <c r="BD211"/>
    </row>
    <row r="212" spans="1:56">
      <c r="A212" s="2" t="s">
        <v>2929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5" t="str">
        <f>_xlfn.XLOOKUP(PROPERTIES[[#This Row],[VEHIDCODE]],CONTROL[VEHIDCODE],CONTROL[ENGLISH])</f>
        <v>EMD G26</v>
      </c>
      <c r="F212" t="s">
        <v>796</v>
      </c>
      <c r="G212" s="45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8">
        <v>103</v>
      </c>
      <c r="R212">
        <v>2200</v>
      </c>
      <c r="S212">
        <v>124</v>
      </c>
      <c r="T212" s="25">
        <v>0</v>
      </c>
      <c r="U212" s="24">
        <f>IFERROR(PROPERTIES[[#This Row],[TE_STARTING_KN]]/(PROPERTIES[[#This Row],[WEIGHT]]*9.81),0)</f>
        <v>0</v>
      </c>
      <c r="V212" s="24">
        <v>0.26</v>
      </c>
      <c r="W212" s="21">
        <f>ROUND(IF(IFERROR(PROPERTIES[[#This Row],[TE_COEFFICIENT_CALC]],0)=0,PROPERTIES[[#This Row],[TE_COEFFICIENT_MANUAL]],PROPERTIES[[#This Row],[TE_COEFFICIENT_CALC]]),3)</f>
        <v>0.26</v>
      </c>
      <c r="X212" s="9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1">
        <v>0</v>
      </c>
      <c r="Z212" s="7">
        <v>0</v>
      </c>
      <c r="AA212" t="s">
        <v>245</v>
      </c>
      <c r="AB212" t="s">
        <v>242</v>
      </c>
      <c r="AC212" t="s">
        <v>2012</v>
      </c>
      <c r="AD212" s="2" t="s">
        <v>238</v>
      </c>
      <c r="AE212" s="2" t="s">
        <v>253</v>
      </c>
      <c r="AF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2" s="2" t="str">
        <f>SUBSTITUTE(SUBSTITUTE(PROPERTIES[[#This Row],[PURCHASECOST_VALUE]], "PURCHASECOST_", ""), "_VALUE", "")</f>
        <v>DIESELENGINE</v>
      </c>
      <c r="AI212" s="7" t="str" cm="1">
        <f t="array" ref="AI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2" s="43" t="b">
        <v>0</v>
      </c>
      <c r="AK212" s="8" t="b">
        <v>0</v>
      </c>
      <c r="BB212"/>
      <c r="BC212"/>
      <c r="BD212"/>
    </row>
    <row r="213" spans="1:56">
      <c r="A213" s="2" t="s">
        <v>2930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5" t="str">
        <f>_xlfn.XLOOKUP(PROPERTIES[[#This Row],[VEHIDCODE]],CONTROL[VEHIDCODE],CONTROL[ENGLISH])</f>
        <v>Henschel TGOJ V4</v>
      </c>
      <c r="F213" t="s">
        <v>761</v>
      </c>
      <c r="G213" s="45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8">
        <v>46</v>
      </c>
      <c r="R213">
        <v>620</v>
      </c>
      <c r="S213">
        <v>70</v>
      </c>
      <c r="T213" s="25">
        <v>0</v>
      </c>
      <c r="U213" s="24">
        <f>IFERROR(PROPERTIES[[#This Row],[TE_STARTING_KN]]/(PROPERTIES[[#This Row],[WEIGHT]]*9.81),0)</f>
        <v>0</v>
      </c>
      <c r="V213" s="24">
        <v>0.3</v>
      </c>
      <c r="W213" s="21">
        <f>ROUND(IF(IFERROR(PROPERTIES[[#This Row],[TE_COEFFICIENT_CALC]],0)=0,PROPERTIES[[#This Row],[TE_COEFFICIENT_MANUAL]],PROPERTIES[[#This Row],[TE_COEFFICIENT_CALC]]),3)</f>
        <v>0.3</v>
      </c>
      <c r="X213" s="9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1">
        <v>0</v>
      </c>
      <c r="Z213" s="7">
        <v>0</v>
      </c>
      <c r="AA213" t="s">
        <v>243</v>
      </c>
      <c r="AB213" t="s">
        <v>238</v>
      </c>
      <c r="AC213" t="s">
        <v>238</v>
      </c>
      <c r="AD213" s="2" t="s">
        <v>238</v>
      </c>
      <c r="AE213" s="2" t="s">
        <v>253</v>
      </c>
      <c r="AF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3" s="2" t="str">
        <f>SUBSTITUTE(SUBSTITUTE(PROPERTIES[[#This Row],[PURCHASECOST_VALUE]], "PURCHASECOST_", ""), "_VALUE", "")</f>
        <v>DIESELENGINE</v>
      </c>
      <c r="AI213" s="7" t="str" cm="1">
        <f t="array" ref="AI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13" s="43" t="b">
        <v>0</v>
      </c>
      <c r="AK213" s="8" t="b">
        <v>0</v>
      </c>
      <c r="BB213"/>
      <c r="BC213"/>
      <c r="BD213"/>
    </row>
    <row r="214" spans="1:56">
      <c r="A214" s="2" t="s">
        <v>2931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5" t="str">
        <f>_xlfn.XLOOKUP(PROPERTIES[[#This Row],[VEHIDCODE]],CONTROL[VEHIDCODE],CONTROL[ENGLISH])</f>
        <v>MLW M420W</v>
      </c>
      <c r="F214" t="s">
        <v>604</v>
      </c>
      <c r="G214" s="45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8">
        <v>125</v>
      </c>
      <c r="R214">
        <v>2000</v>
      </c>
      <c r="S214">
        <v>108</v>
      </c>
      <c r="T214" s="25">
        <v>268.67</v>
      </c>
      <c r="U214" s="24">
        <f>IFERROR(PROPERTIES[[#This Row],[TE_STARTING_KN]]/(PROPERTIES[[#This Row],[WEIGHT]]*9.81),0)</f>
        <v>0.21909887869520897</v>
      </c>
      <c r="V214" s="24">
        <v>0</v>
      </c>
      <c r="W214" s="21">
        <f>ROUND(IF(IFERROR(PROPERTIES[[#This Row],[TE_COEFFICIENT_CALC]],0)=0,PROPERTIES[[#This Row],[TE_COEFFICIENT_MANUAL]],PROPERTIES[[#This Row],[TE_COEFFICIENT_CALC]]),3)</f>
        <v>0.219</v>
      </c>
      <c r="X214" s="9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1">
        <v>0</v>
      </c>
      <c r="Z214" s="7">
        <v>0</v>
      </c>
      <c r="AA214" t="s">
        <v>249</v>
      </c>
      <c r="AB214" t="s">
        <v>238</v>
      </c>
      <c r="AC214" t="s">
        <v>238</v>
      </c>
      <c r="AD214" s="2" t="s">
        <v>238</v>
      </c>
      <c r="AE214" s="2" t="s">
        <v>253</v>
      </c>
      <c r="AF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4" s="2" t="str">
        <f>SUBSTITUTE(SUBSTITUTE(PROPERTIES[[#This Row],[PURCHASECOST_VALUE]], "PURCHASECOST_", ""), "_VALUE", "")</f>
        <v>DIESELENGINE</v>
      </c>
      <c r="AI214" s="7" t="str" cm="1">
        <f t="array" ref="AI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4" s="43" t="b">
        <v>0</v>
      </c>
      <c r="AK214" s="8" t="b">
        <v>0</v>
      </c>
      <c r="BB214"/>
      <c r="BC214"/>
      <c r="BD214"/>
    </row>
    <row r="215" spans="1:56">
      <c r="A215" s="2" t="s">
        <v>2932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5" t="str">
        <f>_xlfn.XLOOKUP(PROPERTIES[[#This Row],[VEHIDCODE]],CONTROL[VEHIDCODE],CONTROL[ENGLISH])</f>
        <v>EMD SDP-40F</v>
      </c>
      <c r="F215" t="s">
        <v>796</v>
      </c>
      <c r="G215" s="45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8">
        <v>131</v>
      </c>
      <c r="R215">
        <v>3000</v>
      </c>
      <c r="S215">
        <v>153</v>
      </c>
      <c r="T215" s="25">
        <v>289</v>
      </c>
      <c r="U215" s="24">
        <f>IFERROR(PROPERTIES[[#This Row],[TE_STARTING_KN]]/(PROPERTIES[[#This Row],[WEIGHT]]*9.81),0)</f>
        <v>0.22488347301009251</v>
      </c>
      <c r="V215" s="24">
        <v>0</v>
      </c>
      <c r="W215" s="21">
        <f>ROUND(IF(IFERROR(PROPERTIES[[#This Row],[TE_COEFFICIENT_CALC]],0)=0,PROPERTIES[[#This Row],[TE_COEFFICIENT_MANUAL]],PROPERTIES[[#This Row],[TE_COEFFICIENT_CALC]]),3)</f>
        <v>0.22500000000000001</v>
      </c>
      <c r="X215" s="9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1">
        <v>0</v>
      </c>
      <c r="Z215" s="7">
        <v>0</v>
      </c>
      <c r="AA215" t="s">
        <v>244</v>
      </c>
      <c r="AB215" t="s">
        <v>238</v>
      </c>
      <c r="AC215" t="s">
        <v>238</v>
      </c>
      <c r="AD215" s="2" t="s">
        <v>238</v>
      </c>
      <c r="AE215" s="2" t="s">
        <v>253</v>
      </c>
      <c r="AF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5" s="2" t="str">
        <f>SUBSTITUTE(SUBSTITUTE(PROPERTIES[[#This Row],[PURCHASECOST_VALUE]], "PURCHASECOST_", ""), "_VALUE", "")</f>
        <v>DIESELENGINE</v>
      </c>
      <c r="AI215" s="7" t="str" cm="1">
        <f t="array" ref="AI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5" s="43" t="b">
        <v>0</v>
      </c>
      <c r="AK215" s="8" t="b">
        <v>0</v>
      </c>
      <c r="BB215"/>
      <c r="BC215"/>
      <c r="BD215"/>
    </row>
    <row r="216" spans="1:56">
      <c r="A216" s="2" t="s">
        <v>2933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5" t="str">
        <f>_xlfn.XLOOKUP(PROPERTIES[[#This Row],[VEHIDCODE]],CONTROL[VEHIDCODE],CONTROL[ENGLISH])</f>
        <v>Sifang DFH3</v>
      </c>
      <c r="F216" t="s">
        <v>614</v>
      </c>
      <c r="G216" s="45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8">
        <v>92</v>
      </c>
      <c r="R216">
        <v>2200</v>
      </c>
      <c r="S216">
        <v>120</v>
      </c>
      <c r="T216" s="25">
        <v>271</v>
      </c>
      <c r="U216" s="24">
        <f>IFERROR(PROPERTIES[[#This Row],[TE_STARTING_KN]]/(PROPERTIES[[#This Row],[WEIGHT]]*9.81),0)</f>
        <v>0.30027035411957625</v>
      </c>
      <c r="V216" s="24">
        <v>0</v>
      </c>
      <c r="W216" s="21">
        <f>ROUND(IF(IFERROR(PROPERTIES[[#This Row],[TE_COEFFICIENT_CALC]],0)=0,PROPERTIES[[#This Row],[TE_COEFFICIENT_MANUAL]],PROPERTIES[[#This Row],[TE_COEFFICIENT_CALC]]),3)</f>
        <v>0.3</v>
      </c>
      <c r="X216" s="9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1">
        <v>0</v>
      </c>
      <c r="Z216" s="7">
        <v>0</v>
      </c>
      <c r="AA216" t="s">
        <v>247</v>
      </c>
      <c r="AB216" t="s">
        <v>238</v>
      </c>
      <c r="AC216" t="s">
        <v>238</v>
      </c>
      <c r="AD216" s="2" t="s">
        <v>238</v>
      </c>
      <c r="AE216" s="2" t="s">
        <v>253</v>
      </c>
      <c r="AF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6" s="2" t="str">
        <f>SUBSTITUTE(SUBSTITUTE(PROPERTIES[[#This Row],[PURCHASECOST_VALUE]], "PURCHASECOST_", ""), "_VALUE", "")</f>
        <v>DIESELENGINE</v>
      </c>
      <c r="AI216" s="7" t="str" cm="1">
        <f t="array" ref="AI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6" s="43" t="b">
        <v>0</v>
      </c>
      <c r="AK216" s="8" t="b">
        <v>0</v>
      </c>
      <c r="BB216"/>
      <c r="BC216"/>
      <c r="BD216"/>
    </row>
    <row r="217" spans="1:56">
      <c r="A217" s="2" t="s">
        <v>2934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5" t="str">
        <f>_xlfn.XLOOKUP(PROPERTIES[[#This Row],[VEHIDCODE]],CONTROL[VEHIDCODE],CONTROL[ENGLISH])</f>
        <v>EMD F40PH</v>
      </c>
      <c r="F217" t="s">
        <v>796</v>
      </c>
      <c r="G217" s="45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8">
        <v>115</v>
      </c>
      <c r="R217">
        <v>3000</v>
      </c>
      <c r="S217">
        <v>165</v>
      </c>
      <c r="T217" s="25">
        <v>289</v>
      </c>
      <c r="U217" s="24">
        <f>IFERROR(PROPERTIES[[#This Row],[TE_STARTING_KN]]/(PROPERTIES[[#This Row],[WEIGHT]]*9.81),0)</f>
        <v>0.2561716083854097</v>
      </c>
      <c r="V217" s="24">
        <v>0</v>
      </c>
      <c r="W217" s="21">
        <f>ROUND(IF(IFERROR(PROPERTIES[[#This Row],[TE_COEFFICIENT_CALC]],0)=0,PROPERTIES[[#This Row],[TE_COEFFICIENT_MANUAL]],PROPERTIES[[#This Row],[TE_COEFFICIENT_CALC]]),3)</f>
        <v>0.25600000000000001</v>
      </c>
      <c r="X217" s="9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7" s="31">
        <v>0</v>
      </c>
      <c r="Z217" s="7">
        <v>0</v>
      </c>
      <c r="AA217" t="s">
        <v>249</v>
      </c>
      <c r="AB217" t="s">
        <v>238</v>
      </c>
      <c r="AC217" t="s">
        <v>238</v>
      </c>
      <c r="AD217" s="2" t="s">
        <v>238</v>
      </c>
      <c r="AE217" s="2" t="s">
        <v>253</v>
      </c>
      <c r="AF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7" s="2" t="str">
        <f>SUBSTITUTE(SUBSTITUTE(PROPERTIES[[#This Row],[PURCHASECOST_VALUE]], "PURCHASECOST_", ""), "_VALUE", "")</f>
        <v>DIESELENGINE</v>
      </c>
      <c r="AI217" s="7" t="str" cm="1">
        <f t="array" ref="AI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17" s="43" t="b">
        <v>0</v>
      </c>
      <c r="AK217" s="8" t="b">
        <v>0</v>
      </c>
      <c r="BB217"/>
      <c r="BC217"/>
      <c r="BD217"/>
    </row>
    <row r="218" spans="1:56">
      <c r="A218" s="2" t="s">
        <v>2935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5" t="str">
        <f>_xlfn.XLOOKUP(PROPERTIES[[#This Row],[VEHIDCODE]],CONTROL[VEHIDCODE],CONTROL[ENGLISH])</f>
        <v>Sorefame/Alsthom 1900</v>
      </c>
      <c r="F218" t="s">
        <v>749</v>
      </c>
      <c r="G218" s="45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8">
        <v>115</v>
      </c>
      <c r="R218">
        <v>2260</v>
      </c>
      <c r="S218">
        <v>100</v>
      </c>
      <c r="T218" s="25">
        <v>388.3</v>
      </c>
      <c r="U218" s="24">
        <f>IFERROR(PROPERTIES[[#This Row],[TE_STARTING_KN]]/(PROPERTIES[[#This Row],[WEIGHT]]*9.81),0)</f>
        <v>0.34419181846385671</v>
      </c>
      <c r="V218" s="24">
        <v>0</v>
      </c>
      <c r="W218" s="21">
        <f>ROUND(IF(IFERROR(PROPERTIES[[#This Row],[TE_COEFFICIENT_CALC]],0)=0,PROPERTIES[[#This Row],[TE_COEFFICIENT_MANUAL]],PROPERTIES[[#This Row],[TE_COEFFICIENT_CALC]]),3)</f>
        <v>0.34399999999999997</v>
      </c>
      <c r="X218" s="9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1">
        <v>0</v>
      </c>
      <c r="Z218" s="7">
        <v>0</v>
      </c>
      <c r="AA218" t="s">
        <v>240</v>
      </c>
      <c r="AB218" t="s">
        <v>238</v>
      </c>
      <c r="AC218" t="s">
        <v>238</v>
      </c>
      <c r="AD218" s="2" t="s">
        <v>238</v>
      </c>
      <c r="AE218" s="2" t="s">
        <v>253</v>
      </c>
      <c r="AF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8" s="2" t="str">
        <f>SUBSTITUTE(SUBSTITUTE(PROPERTIES[[#This Row],[PURCHASECOST_VALUE]], "PURCHASECOST_", ""), "_VALUE", "")</f>
        <v>DIESELENGINE</v>
      </c>
      <c r="AI218" s="7" t="str" cm="1">
        <f t="array" ref="AI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8" s="43" t="b">
        <v>0</v>
      </c>
      <c r="AK218" s="8" t="b">
        <v>0</v>
      </c>
      <c r="BB218"/>
      <c r="BC218"/>
      <c r="BD218"/>
    </row>
    <row r="219" spans="1:56">
      <c r="A219" s="2" t="s">
        <v>2936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5" t="str">
        <f>_xlfn.XLOOKUP(PROPERTIES[[#This Row],[VEHIDCODE]],CONTROL[VEHIDCODE],CONTROL[ENGLISH])</f>
        <v>Valmet Oy Dr16</v>
      </c>
      <c r="F219" t="s">
        <v>636</v>
      </c>
      <c r="G219" s="45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8">
        <v>82</v>
      </c>
      <c r="R219">
        <v>2250</v>
      </c>
      <c r="S219">
        <v>140</v>
      </c>
      <c r="T219" s="25">
        <v>270</v>
      </c>
      <c r="U219" s="24">
        <f>IFERROR(PROPERTIES[[#This Row],[TE_STARTING_KN]]/(PROPERTIES[[#This Row],[WEIGHT]]*9.81),0)</f>
        <v>0.33564555829044523</v>
      </c>
      <c r="V219" s="24">
        <v>0</v>
      </c>
      <c r="W219" s="21">
        <f>ROUND(IF(IFERROR(PROPERTIES[[#This Row],[TE_COEFFICIENT_CALC]],0)=0,PROPERTIES[[#This Row],[TE_COEFFICIENT_MANUAL]],PROPERTIES[[#This Row],[TE_COEFFICIENT_CALC]]),3)</f>
        <v>0.33600000000000002</v>
      </c>
      <c r="X219" s="9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1">
        <v>0</v>
      </c>
      <c r="Z219" s="7">
        <v>0</v>
      </c>
      <c r="AA219" t="s">
        <v>243</v>
      </c>
      <c r="AB219" t="s">
        <v>238</v>
      </c>
      <c r="AC219" t="s">
        <v>238</v>
      </c>
      <c r="AD219" s="2" t="s">
        <v>238</v>
      </c>
      <c r="AE219" s="2" t="s">
        <v>253</v>
      </c>
      <c r="AF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9" s="2" t="str">
        <f>SUBSTITUTE(SUBSTITUTE(PROPERTIES[[#This Row],[PURCHASECOST_VALUE]], "PURCHASECOST_", ""), "_VALUE", "")</f>
        <v>DIESELENGINE</v>
      </c>
      <c r="AI219" s="7" t="str" cm="1">
        <f t="array" ref="AI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9" s="43" t="b">
        <v>0</v>
      </c>
      <c r="AK219" s="8" t="b">
        <v>0</v>
      </c>
      <c r="BB219"/>
      <c r="BC219"/>
      <c r="BD219"/>
    </row>
    <row r="220" spans="1:56">
      <c r="A220" s="2" t="s">
        <v>2937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5" t="str">
        <f>_xlfn.XLOOKUP(PROPERTIES[[#This Row],[VEHIDCODE]],CONTROL[VEHIDCODE],CONTROL[ENGLISH])</f>
        <v>Kolomna TEP80</v>
      </c>
      <c r="F220" t="s">
        <v>755</v>
      </c>
      <c r="G220" s="45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8">
        <v>180</v>
      </c>
      <c r="R220">
        <v>6000</v>
      </c>
      <c r="S220">
        <v>160</v>
      </c>
      <c r="T220" s="25">
        <v>240</v>
      </c>
      <c r="U220" s="24">
        <f>IFERROR(PROPERTIES[[#This Row],[TE_STARTING_KN]]/(PROPERTIES[[#This Row],[WEIGHT]]*9.81),0)</f>
        <v>0.13591573224600745</v>
      </c>
      <c r="V220" s="24">
        <v>0</v>
      </c>
      <c r="W220" s="21">
        <f>ROUND(IF(IFERROR(PROPERTIES[[#This Row],[TE_COEFFICIENT_CALC]],0)=0,PROPERTIES[[#This Row],[TE_COEFFICIENT_MANUAL]],PROPERTIES[[#This Row],[TE_COEFFICIENT_CALC]]),3)</f>
        <v>0.13600000000000001</v>
      </c>
      <c r="X220" s="9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1">
        <v>0</v>
      </c>
      <c r="Z220" s="7">
        <v>0</v>
      </c>
      <c r="AA220" t="s">
        <v>2013</v>
      </c>
      <c r="AB220" t="s">
        <v>238</v>
      </c>
      <c r="AC220" t="s">
        <v>238</v>
      </c>
      <c r="AD220" s="2" t="s">
        <v>238</v>
      </c>
      <c r="AE220" s="2" t="s">
        <v>253</v>
      </c>
      <c r="AF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0" s="2" t="str">
        <f>SUBSTITUTE(SUBSTITUTE(PROPERTIES[[#This Row],[PURCHASECOST_VALUE]], "PURCHASECOST_", ""), "_VALUE", "")</f>
        <v>DIESELENGINE</v>
      </c>
      <c r="AI220" s="7" t="str" cm="1">
        <f t="array" ref="AI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0" s="43" t="b">
        <v>0</v>
      </c>
      <c r="AK220" s="8" t="b">
        <v>0</v>
      </c>
      <c r="BB220"/>
      <c r="BC220"/>
      <c r="BD220"/>
    </row>
    <row r="221" spans="1:56">
      <c r="A221" s="2" t="s">
        <v>2938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5" t="str">
        <f>_xlfn.XLOOKUP(PROPERTIES[[#This Row],[VEHIDCODE]],CONTROL[VEHIDCODE],CONTROL[ENGLISH])</f>
        <v>EMD/Clyde JT46C</v>
      </c>
      <c r="F221" t="s">
        <v>580</v>
      </c>
      <c r="G221" s="45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8">
        <v>128</v>
      </c>
      <c r="R221">
        <v>4063</v>
      </c>
      <c r="S221">
        <v>150</v>
      </c>
      <c r="T221" s="25">
        <v>323</v>
      </c>
      <c r="U221" s="24">
        <f>IFERROR(PROPERTIES[[#This Row],[TE_STARTING_KN]]/(PROPERTIES[[#This Row],[WEIGHT]]*9.81),0)</f>
        <v>0.25723114169215083</v>
      </c>
      <c r="V221" s="24">
        <v>0</v>
      </c>
      <c r="W221" s="21">
        <f>ROUND(IF(IFERROR(PROPERTIES[[#This Row],[TE_COEFFICIENT_CALC]],0)=0,PROPERTIES[[#This Row],[TE_COEFFICIENT_MANUAL]],PROPERTIES[[#This Row],[TE_COEFFICIENT_CALC]]),3)</f>
        <v>0.25700000000000001</v>
      </c>
      <c r="X221" s="9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1">
        <v>0</v>
      </c>
      <c r="Z221" s="7">
        <v>0</v>
      </c>
      <c r="AA221" t="s">
        <v>241</v>
      </c>
      <c r="AB221" t="s">
        <v>238</v>
      </c>
      <c r="AC221" t="s">
        <v>238</v>
      </c>
      <c r="AD221" s="2" t="s">
        <v>238</v>
      </c>
      <c r="AE221" s="2" t="s">
        <v>253</v>
      </c>
      <c r="AF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1" s="2" t="str">
        <f>SUBSTITUTE(SUBSTITUTE(PROPERTIES[[#This Row],[PURCHASECOST_VALUE]], "PURCHASECOST_", ""), "_VALUE", "")</f>
        <v>DIESELENGINE</v>
      </c>
      <c r="AI221" s="7" t="str" cm="1">
        <f t="array" ref="AI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1" s="43" t="b">
        <v>0</v>
      </c>
      <c r="AK221" s="8" t="b">
        <v>0</v>
      </c>
      <c r="BB221"/>
      <c r="BC221"/>
      <c r="BD221"/>
    </row>
    <row r="222" spans="1:56">
      <c r="A222" s="2" t="s">
        <v>2939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5" t="str">
        <f>_xlfn.XLOOKUP(PROPERTIES[[#This Row],[VEHIDCODE]],CONTROL[VEHIDCODE],CONTROL[ENGLISH])</f>
        <v>GE P42DC 'Genesis'</v>
      </c>
      <c r="F222" t="s">
        <v>796</v>
      </c>
      <c r="G222" s="45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8">
        <v>121.6</v>
      </c>
      <c r="R222">
        <v>4250</v>
      </c>
      <c r="S222">
        <v>177</v>
      </c>
      <c r="T222" s="25">
        <v>280.25</v>
      </c>
      <c r="U222" s="24">
        <f>IFERROR(PROPERTIES[[#This Row],[TE_STARTING_KN]]/(PROPERTIES[[#This Row],[WEIGHT]]*9.81),0)</f>
        <v>0.23493246687054029</v>
      </c>
      <c r="V222" s="24">
        <v>0</v>
      </c>
      <c r="W222" s="21">
        <f>ROUND(IF(IFERROR(PROPERTIES[[#This Row],[TE_COEFFICIENT_CALC]],0)=0,PROPERTIES[[#This Row],[TE_COEFFICIENT_MANUAL]],PROPERTIES[[#This Row],[TE_COEFFICIENT_CALC]]),3)</f>
        <v>0.23499999999999999</v>
      </c>
      <c r="X222" s="9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1">
        <v>0</v>
      </c>
      <c r="Z222" s="7">
        <v>0</v>
      </c>
      <c r="AA222" t="s">
        <v>244</v>
      </c>
      <c r="AB222" t="s">
        <v>238</v>
      </c>
      <c r="AC222" t="s">
        <v>238</v>
      </c>
      <c r="AD222" s="2" t="s">
        <v>238</v>
      </c>
      <c r="AE222" s="2" t="s">
        <v>253</v>
      </c>
      <c r="AF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2" s="2" t="str">
        <f>SUBSTITUTE(SUBSTITUTE(PROPERTIES[[#This Row],[PURCHASECOST_VALUE]], "PURCHASECOST_", ""), "_VALUE", "")</f>
        <v>DIESELENGINE</v>
      </c>
      <c r="AI222" s="7" t="str" cm="1">
        <f t="array" ref="AI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2" s="43" t="b">
        <v>0</v>
      </c>
      <c r="AK222" s="8" t="b">
        <v>0</v>
      </c>
      <c r="BB222"/>
      <c r="BC222"/>
      <c r="BD222"/>
    </row>
    <row r="223" spans="1:56">
      <c r="A223" s="2" t="s">
        <v>2940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5" t="str">
        <f>_xlfn.XLOOKUP(PROPERTIES[[#This Row],[VEHIDCODE]],CONTROL[VEHIDCODE],CONTROL[ENGLISH])</f>
        <v>Tulomsas TCDD DH7000</v>
      </c>
      <c r="F223" t="s">
        <v>1066</v>
      </c>
      <c r="G223" s="45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8">
        <v>51</v>
      </c>
      <c r="R223">
        <v>700</v>
      </c>
      <c r="S223">
        <v>40</v>
      </c>
      <c r="T223" s="25">
        <v>0</v>
      </c>
      <c r="U223" s="24">
        <f>IFERROR(PROPERTIES[[#This Row],[TE_STARTING_KN]]/(PROPERTIES[[#This Row],[WEIGHT]]*9.81),0)</f>
        <v>0</v>
      </c>
      <c r="V223" s="24">
        <v>0.28000000000000003</v>
      </c>
      <c r="W223" s="21">
        <f>ROUND(IF(IFERROR(PROPERTIES[[#This Row],[TE_COEFFICIENT_CALC]],0)=0,PROPERTIES[[#This Row],[TE_COEFFICIENT_MANUAL]],PROPERTIES[[#This Row],[TE_COEFFICIENT_CALC]]),3)</f>
        <v>0.28000000000000003</v>
      </c>
      <c r="X223" s="9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1">
        <v>0</v>
      </c>
      <c r="Z223" s="7">
        <v>0</v>
      </c>
      <c r="AA223" t="s">
        <v>2013</v>
      </c>
      <c r="AB223" t="s">
        <v>238</v>
      </c>
      <c r="AC223" t="s">
        <v>238</v>
      </c>
      <c r="AD223" s="2" t="s">
        <v>238</v>
      </c>
      <c r="AE223" s="2" t="s">
        <v>253</v>
      </c>
      <c r="AF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3" s="2" t="str">
        <f>SUBSTITUTE(SUBSTITUTE(PROPERTIES[[#This Row],[PURCHASECOST_VALUE]], "PURCHASECOST_", ""), "_VALUE", "")</f>
        <v>DIESELENGINE</v>
      </c>
      <c r="AI223" s="7" t="str" cm="1">
        <f t="array" ref="AI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23" s="43" t="b">
        <v>0</v>
      </c>
      <c r="AK223" s="8" t="b">
        <v>0</v>
      </c>
      <c r="BB223"/>
      <c r="BC223"/>
      <c r="BD223"/>
    </row>
    <row r="224" spans="1:56">
      <c r="A224" s="2" t="s">
        <v>2941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5" t="str">
        <f>_xlfn.XLOOKUP(PROPERTIES[[#This Row],[VEHIDCODE]],CONTROL[VEHIDCODE],CONTROL[ENGLISH])</f>
        <v>GE U20C</v>
      </c>
      <c r="F224" t="s">
        <v>577</v>
      </c>
      <c r="G224" s="45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8">
        <v>96</v>
      </c>
      <c r="R224">
        <v>2150</v>
      </c>
      <c r="S224">
        <v>104</v>
      </c>
      <c r="T224" s="25">
        <v>245</v>
      </c>
      <c r="U224" s="24">
        <f>IFERROR(PROPERTIES[[#This Row],[TE_STARTING_KN]]/(PROPERTIES[[#This Row],[WEIGHT]]*9.81),0)</f>
        <v>0.26015120625212368</v>
      </c>
      <c r="V224" s="24">
        <v>0</v>
      </c>
      <c r="W224" s="21">
        <f>ROUND(IF(IFERROR(PROPERTIES[[#This Row],[TE_COEFFICIENT_CALC]],0)=0,PROPERTIES[[#This Row],[TE_COEFFICIENT_MANUAL]],PROPERTIES[[#This Row],[TE_COEFFICIENT_CALC]]),3)</f>
        <v>0.26</v>
      </c>
      <c r="X224" s="9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1">
        <v>0</v>
      </c>
      <c r="Z224" s="7">
        <v>0</v>
      </c>
      <c r="AA224" t="s">
        <v>246</v>
      </c>
      <c r="AB224" t="s">
        <v>242</v>
      </c>
      <c r="AC224" t="s">
        <v>247</v>
      </c>
      <c r="AD224" s="2" t="s">
        <v>238</v>
      </c>
      <c r="AE224" s="2" t="s">
        <v>253</v>
      </c>
      <c r="AF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4" s="2" t="str">
        <f>SUBSTITUTE(SUBSTITUTE(PROPERTIES[[#This Row],[PURCHASECOST_VALUE]], "PURCHASECOST_", ""), "_VALUE", "")</f>
        <v>DIESELENGINE</v>
      </c>
      <c r="AI224" s="7" t="str" cm="1">
        <f t="array" ref="AI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24" s="43" t="b">
        <v>0</v>
      </c>
      <c r="AK224" s="8" t="b">
        <v>0</v>
      </c>
      <c r="BB224"/>
      <c r="BC224"/>
      <c r="BD224"/>
    </row>
    <row r="225" spans="1:56">
      <c r="A225" s="2" t="s">
        <v>3524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5" t="str">
        <f>_xlfn.XLOOKUP(PROPERTIES[[#This Row],[VEHIDCODE]],CONTROL[VEHIDCODE],CONTROL[ENGLISH])</f>
        <v>Vossloh Siemens serie 77/78</v>
      </c>
      <c r="F225" t="s">
        <v>587</v>
      </c>
      <c r="G225" s="45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8">
        <v>90</v>
      </c>
      <c r="R225">
        <v>1500</v>
      </c>
      <c r="S225">
        <v>100</v>
      </c>
      <c r="T225" s="25">
        <v>291</v>
      </c>
      <c r="U225" s="24">
        <f>IFERROR(PROPERTIES[[#This Row],[TE_STARTING_KN]]/(PROPERTIES[[#This Row],[WEIGHT]]*9.81),0)</f>
        <v>0.3295956506965681</v>
      </c>
      <c r="V225" s="24">
        <v>0</v>
      </c>
      <c r="W225" s="21">
        <f>ROUND(IF(IFERROR(PROPERTIES[[#This Row],[TE_COEFFICIENT_CALC]],0)=0,PROPERTIES[[#This Row],[TE_COEFFICIENT_MANUAL]],PROPERTIES[[#This Row],[TE_COEFFICIENT_CALC]]),3)</f>
        <v>0.33</v>
      </c>
      <c r="X225" s="9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1">
        <v>0</v>
      </c>
      <c r="Z225" s="7">
        <v>0</v>
      </c>
      <c r="AA225" t="s">
        <v>239</v>
      </c>
      <c r="AB225" t="s">
        <v>238</v>
      </c>
      <c r="AC225" t="s">
        <v>238</v>
      </c>
      <c r="AD225" s="2" t="s">
        <v>238</v>
      </c>
      <c r="AE225" s="2" t="s">
        <v>253</v>
      </c>
      <c r="AF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5" s="2" t="str">
        <f>SUBSTITUTE(SUBSTITUTE(PROPERTIES[[#This Row],[PURCHASECOST_VALUE]], "PURCHASECOST_", ""), "_VALUE", "")</f>
        <v>DIESELENGINE</v>
      </c>
      <c r="AI225" s="7" t="str" cm="1">
        <f t="array" ref="AI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25" s="43" t="b">
        <v>0</v>
      </c>
      <c r="AK225" s="8" t="b">
        <v>0</v>
      </c>
      <c r="BB225"/>
      <c r="BC225"/>
      <c r="BD225"/>
    </row>
    <row r="226" spans="1:56">
      <c r="A226" s="2" t="s">
        <v>2942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5" t="str">
        <f>_xlfn.XLOOKUP(PROPERTIES[[#This Row],[VEHIDCODE]],CONTROL[VEHIDCODE],CONTROL[ENGLISH])</f>
        <v>EMD JT42CWRM</v>
      </c>
      <c r="F226" t="s">
        <v>642</v>
      </c>
      <c r="G226" s="45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8">
        <v>126</v>
      </c>
      <c r="R226">
        <v>3200</v>
      </c>
      <c r="S226">
        <v>120</v>
      </c>
      <c r="T226" s="25">
        <v>409</v>
      </c>
      <c r="U226" s="24">
        <f>IFERROR(PROPERTIES[[#This Row],[TE_STARTING_KN]]/(PROPERTIES[[#This Row],[WEIGHT]]*9.81),0)</f>
        <v>0.33089008624176813</v>
      </c>
      <c r="V226" s="24">
        <v>0</v>
      </c>
      <c r="W226" s="21">
        <f>ROUND(IF(IFERROR(PROPERTIES[[#This Row],[TE_COEFFICIENT_CALC]],0)=0,PROPERTIES[[#This Row],[TE_COEFFICIENT_MANUAL]],PROPERTIES[[#This Row],[TE_COEFFICIENT_CALC]]),3)</f>
        <v>0.33100000000000002</v>
      </c>
      <c r="X226" s="9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1">
        <v>0</v>
      </c>
      <c r="Z226" s="7">
        <v>0</v>
      </c>
      <c r="AA226" t="s">
        <v>248</v>
      </c>
      <c r="AB226" t="s">
        <v>242</v>
      </c>
      <c r="AC226" t="s">
        <v>238</v>
      </c>
      <c r="AD226" s="2" t="s">
        <v>238</v>
      </c>
      <c r="AE226" s="2" t="s">
        <v>253</v>
      </c>
      <c r="AF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6" s="2" t="str">
        <f>SUBSTITUTE(SUBSTITUTE(PROPERTIES[[#This Row],[PURCHASECOST_VALUE]], "PURCHASECOST_", ""), "_VALUE", "")</f>
        <v>DIESELENGINE</v>
      </c>
      <c r="AI226" s="7" t="str" cm="1">
        <f t="array" ref="AI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6" s="43" t="b">
        <v>0</v>
      </c>
      <c r="AK226" s="8" t="b">
        <v>0</v>
      </c>
      <c r="BB226"/>
      <c r="BC226"/>
      <c r="BD226"/>
    </row>
    <row r="227" spans="1:56">
      <c r="A227" s="2" t="s">
        <v>2943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5" t="str">
        <f>_xlfn.XLOOKUP(PROPERTIES[[#This Row],[VEHIDCODE]],CONTROL[VEHIDCODE],CONTROL[ENGLISH])</f>
        <v>EMD JT42HW-HS</v>
      </c>
      <c r="F227" t="s">
        <v>642</v>
      </c>
      <c r="G227" s="45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8">
        <v>88</v>
      </c>
      <c r="R227">
        <v>3200</v>
      </c>
      <c r="S227">
        <v>200</v>
      </c>
      <c r="T227" s="25">
        <v>143</v>
      </c>
      <c r="U227" s="24">
        <f>IFERROR(PROPERTIES[[#This Row],[TE_STARTING_KN]]/(PROPERTIES[[#This Row],[WEIGHT]]*9.81),0)</f>
        <v>0.16564729867482159</v>
      </c>
      <c r="V227" s="24">
        <v>0</v>
      </c>
      <c r="W227" s="21">
        <f>ROUND(IF(IFERROR(PROPERTIES[[#This Row],[TE_COEFFICIENT_CALC]],0)=0,PROPERTIES[[#This Row],[TE_COEFFICIENT_MANUAL]],PROPERTIES[[#This Row],[TE_COEFFICIENT_CALC]]),3)</f>
        <v>0.16600000000000001</v>
      </c>
      <c r="X227" s="9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1">
        <v>0</v>
      </c>
      <c r="Z227" s="7">
        <v>0</v>
      </c>
      <c r="AA227" t="s">
        <v>243</v>
      </c>
      <c r="AB227" t="s">
        <v>238</v>
      </c>
      <c r="AC227" t="s">
        <v>238</v>
      </c>
      <c r="AD227" s="2" t="s">
        <v>238</v>
      </c>
      <c r="AE227" s="2" t="s">
        <v>253</v>
      </c>
      <c r="AF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7" s="2" t="str">
        <f>SUBSTITUTE(SUBSTITUTE(PROPERTIES[[#This Row],[PURCHASECOST_VALUE]], "PURCHASECOST_", ""), "_VALUE", "")</f>
        <v>DIESELENGINE</v>
      </c>
      <c r="AI227" s="7" t="str" cm="1">
        <f t="array" ref="AI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7" s="43" t="b">
        <v>0</v>
      </c>
      <c r="AK227" s="8" t="b">
        <v>0</v>
      </c>
      <c r="BB227"/>
      <c r="BC227"/>
      <c r="BD227"/>
    </row>
    <row r="228" spans="1:56">
      <c r="A228" s="2" t="s">
        <v>2944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5" t="str">
        <f>_xlfn.XLOOKUP(PROPERTIES[[#This Row],[VEHIDCODE]],CONTROL[VEHIDCODE],CONTROL[ENGLISH])</f>
        <v>Alstom DE43CA 'Prima'</v>
      </c>
      <c r="F228" t="s">
        <v>673</v>
      </c>
      <c r="G228" s="45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8">
        <v>123</v>
      </c>
      <c r="R228">
        <v>4300</v>
      </c>
      <c r="S228">
        <v>160</v>
      </c>
      <c r="T228" s="25">
        <v>542</v>
      </c>
      <c r="U228" s="24">
        <f>IFERROR(PROPERTIES[[#This Row],[TE_STARTING_KN]]/(PROPERTIES[[#This Row],[WEIGHT]]*9.81),0)</f>
        <v>0.44918491998375637</v>
      </c>
      <c r="V228" s="24">
        <v>0</v>
      </c>
      <c r="W228" s="21">
        <f>ROUND(IF(IFERROR(PROPERTIES[[#This Row],[TE_COEFFICIENT_CALC]],0)=0,PROPERTIES[[#This Row],[TE_COEFFICIENT_MANUAL]],PROPERTIES[[#This Row],[TE_COEFFICIENT_CALC]]),3)</f>
        <v>0.44900000000000001</v>
      </c>
      <c r="X228" s="9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1">
        <v>0</v>
      </c>
      <c r="Z228" s="7">
        <v>0</v>
      </c>
      <c r="AA228" t="s">
        <v>247</v>
      </c>
      <c r="AB228" t="s">
        <v>238</v>
      </c>
      <c r="AC228" t="s">
        <v>238</v>
      </c>
      <c r="AD228" s="2" t="s">
        <v>238</v>
      </c>
      <c r="AE228" s="2" t="s">
        <v>253</v>
      </c>
      <c r="AF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8" s="2" t="str">
        <f>SUBSTITUTE(SUBSTITUTE(PROPERTIES[[#This Row],[PURCHASECOST_VALUE]], "PURCHASECOST_", ""), "_VALUE", "")</f>
        <v>DIESELENGINE</v>
      </c>
      <c r="AI228" s="7" t="str" cm="1">
        <f t="array" ref="AI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8" s="43" t="b">
        <v>0</v>
      </c>
      <c r="AK228" s="8" t="b">
        <v>0</v>
      </c>
      <c r="BB228"/>
      <c r="BC228"/>
      <c r="BD228"/>
    </row>
    <row r="229" spans="1:56">
      <c r="A229" s="2" t="s">
        <v>2945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5" t="str">
        <f>_xlfn.XLOOKUP(PROPERTIES[[#This Row],[VEHIDCODE]],CONTROL[VEHIDCODE],CONTROL[ENGLISH])</f>
        <v>LTZ TEP150</v>
      </c>
      <c r="F229" t="s">
        <v>793</v>
      </c>
      <c r="G229" s="45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8">
        <v>135</v>
      </c>
      <c r="R229">
        <v>4216</v>
      </c>
      <c r="S229">
        <v>160</v>
      </c>
      <c r="T229" s="25">
        <v>310</v>
      </c>
      <c r="U229" s="24">
        <f>IFERROR(PROPERTIES[[#This Row],[TE_STARTING_KN]]/(PROPERTIES[[#This Row],[WEIGHT]]*9.81),0)</f>
        <v>0.23407709442367952</v>
      </c>
      <c r="V229" s="24">
        <v>0</v>
      </c>
      <c r="W229" s="21">
        <f>ROUND(IF(IFERROR(PROPERTIES[[#This Row],[TE_COEFFICIENT_CALC]],0)=0,PROPERTIES[[#This Row],[TE_COEFFICIENT_MANUAL]],PROPERTIES[[#This Row],[TE_COEFFICIENT_CALC]]),3)</f>
        <v>0.23400000000000001</v>
      </c>
      <c r="X229" s="9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1">
        <v>0</v>
      </c>
      <c r="Z229" s="7">
        <v>0</v>
      </c>
      <c r="AA229" t="s">
        <v>245</v>
      </c>
      <c r="AB229" t="s">
        <v>238</v>
      </c>
      <c r="AC229" t="s">
        <v>238</v>
      </c>
      <c r="AD229" s="2" t="s">
        <v>238</v>
      </c>
      <c r="AE229" s="2" t="s">
        <v>253</v>
      </c>
      <c r="AF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9" s="2" t="str">
        <f>SUBSTITUTE(SUBSTITUTE(PROPERTIES[[#This Row],[PURCHASECOST_VALUE]], "PURCHASECOST_", ""), "_VALUE", "")</f>
        <v>DIESELENGINE</v>
      </c>
      <c r="AI229" s="7" t="str" cm="1">
        <f t="array" ref="AI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9" s="43" t="b">
        <v>0</v>
      </c>
      <c r="AK229" s="8" t="b">
        <v>0</v>
      </c>
      <c r="BB229"/>
      <c r="BC229"/>
      <c r="BD229"/>
    </row>
    <row r="230" spans="1:56">
      <c r="A230" s="2" t="s">
        <v>2946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5" t="str">
        <f>_xlfn.XLOOKUP(PROPERTIES[[#This Row],[VEHIDCODE]],CONTROL[VEHIDCODE],CONTROL[ENGLISH])</f>
        <v>GE/CRRC Qishuyan ES59ACi</v>
      </c>
      <c r="F230" t="s">
        <v>614</v>
      </c>
      <c r="G230" s="45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8">
        <v>150</v>
      </c>
      <c r="R230">
        <v>6250</v>
      </c>
      <c r="S230">
        <v>120</v>
      </c>
      <c r="T230" s="25">
        <v>620</v>
      </c>
      <c r="U230" s="24">
        <f>IFERROR(PROPERTIES[[#This Row],[TE_STARTING_KN]]/(PROPERTIES[[#This Row],[WEIGHT]]*9.81),0)</f>
        <v>0.42133876996262315</v>
      </c>
      <c r="V230" s="24">
        <v>0</v>
      </c>
      <c r="W230" s="21">
        <f>ROUND(IF(IFERROR(PROPERTIES[[#This Row],[TE_COEFFICIENT_CALC]],0)=0,PROPERTIES[[#This Row],[TE_COEFFICIENT_MANUAL]],PROPERTIES[[#This Row],[TE_COEFFICIENT_CALC]]),3)</f>
        <v>0.42099999999999999</v>
      </c>
      <c r="X230" s="9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1">
        <v>0</v>
      </c>
      <c r="Z230" s="7">
        <v>0</v>
      </c>
      <c r="AA230" t="s">
        <v>247</v>
      </c>
      <c r="AB230" t="s">
        <v>238</v>
      </c>
      <c r="AC230" t="s">
        <v>238</v>
      </c>
      <c r="AD230" s="2" t="s">
        <v>238</v>
      </c>
      <c r="AE230" s="2" t="s">
        <v>253</v>
      </c>
      <c r="AF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0" s="2" t="str">
        <f>SUBSTITUTE(SUBSTITUTE(PROPERTIES[[#This Row],[PURCHASECOST_VALUE]], "PURCHASECOST_", ""), "_VALUE", "")</f>
        <v>DIESELENGINE</v>
      </c>
      <c r="AI230" s="7" t="str" cm="1">
        <f t="array" ref="AI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0" s="43" t="b">
        <v>0</v>
      </c>
      <c r="AK230" s="8" t="b">
        <v>0</v>
      </c>
      <c r="BB230"/>
      <c r="BC230"/>
      <c r="BD230"/>
    </row>
    <row r="231" spans="1:56">
      <c r="A231" s="2" t="s">
        <v>2947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5" t="str">
        <f>_xlfn.XLOOKUP(PROPERTIES[[#This Row],[VEHIDCODE]],CONTROL[VEHIDCODE],CONTROL[ENGLISH])</f>
        <v>Voith Gravita 10 BB</v>
      </c>
      <c r="F231" t="s">
        <v>623</v>
      </c>
      <c r="G231" s="45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8">
        <v>80</v>
      </c>
      <c r="R231">
        <v>1600</v>
      </c>
      <c r="S231">
        <v>100</v>
      </c>
      <c r="T231" s="25">
        <v>313</v>
      </c>
      <c r="U231" s="24">
        <f>IFERROR(PROPERTIES[[#This Row],[TE_STARTING_KN]]/(PROPERTIES[[#This Row],[WEIGHT]]*9.81),0)</f>
        <v>0.39882772680937817</v>
      </c>
      <c r="V231" s="24">
        <v>0</v>
      </c>
      <c r="W231" s="21">
        <f>ROUND(IF(IFERROR(PROPERTIES[[#This Row],[TE_COEFFICIENT_CALC]],0)=0,PROPERTIES[[#This Row],[TE_COEFFICIENT_MANUAL]],PROPERTIES[[#This Row],[TE_COEFFICIENT_CALC]]),3)</f>
        <v>0.39900000000000002</v>
      </c>
      <c r="X231" s="9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1">
        <v>0</v>
      </c>
      <c r="Z231" s="7">
        <v>0</v>
      </c>
      <c r="AA231" t="s">
        <v>239</v>
      </c>
      <c r="AB231" t="s">
        <v>238</v>
      </c>
      <c r="AC231" t="s">
        <v>238</v>
      </c>
      <c r="AD231" s="2" t="s">
        <v>238</v>
      </c>
      <c r="AE231" s="2" t="s">
        <v>253</v>
      </c>
      <c r="AF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1" s="2" t="str">
        <f>SUBSTITUTE(SUBSTITUTE(PROPERTIES[[#This Row],[PURCHASECOST_VALUE]], "PURCHASECOST_", ""), "_VALUE", "")</f>
        <v>DIESELENGINE</v>
      </c>
      <c r="AI231" s="7" t="str" cm="1">
        <f t="array" ref="AI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1" s="43" t="b">
        <v>0</v>
      </c>
      <c r="AK231" s="8" t="b">
        <v>0</v>
      </c>
      <c r="BB231"/>
      <c r="BC231"/>
      <c r="BD231"/>
    </row>
    <row r="232" spans="1:56">
      <c r="A232" s="2" t="s">
        <v>2948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5" t="str">
        <f>_xlfn.XLOOKUP(PROPERTIES[[#This Row],[VEHIDCODE]],CONTROL[VEHIDCODE],CONTROL[ENGLISH])</f>
        <v>Voronezh/VNIIZHT GT1</v>
      </c>
      <c r="F232" t="s">
        <v>755</v>
      </c>
      <c r="G232" s="45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8">
        <v>300</v>
      </c>
      <c r="R232">
        <v>11130</v>
      </c>
      <c r="S232">
        <v>100</v>
      </c>
      <c r="T232" s="25">
        <v>775</v>
      </c>
      <c r="U232" s="24">
        <f>IFERROR(PROPERTIES[[#This Row],[TE_STARTING_KN]]/(PROPERTIES[[#This Row],[WEIGHT]]*9.81),0)</f>
        <v>0.26333673122663948</v>
      </c>
      <c r="V232" s="24">
        <v>0</v>
      </c>
      <c r="W232" s="21">
        <f>ROUND(IF(IFERROR(PROPERTIES[[#This Row],[TE_COEFFICIENT_CALC]],0)=0,PROPERTIES[[#This Row],[TE_COEFFICIENT_MANUAL]],PROPERTIES[[#This Row],[TE_COEFFICIENT_CALC]]),3)</f>
        <v>0.26300000000000001</v>
      </c>
      <c r="X232" s="9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1">
        <v>0</v>
      </c>
      <c r="Z232" s="7">
        <v>8</v>
      </c>
      <c r="AA232" t="s">
        <v>247</v>
      </c>
      <c r="AB232" t="s">
        <v>238</v>
      </c>
      <c r="AC232" t="s">
        <v>238</v>
      </c>
      <c r="AD232" s="2" t="s">
        <v>238</v>
      </c>
      <c r="AE232" s="2" t="s">
        <v>253</v>
      </c>
      <c r="AF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2" s="2" t="str">
        <f>SUBSTITUTE(SUBSTITUTE(PROPERTIES[[#This Row],[PURCHASECOST_VALUE]], "PURCHASECOST_", ""), "_VALUE", "")</f>
        <v>DIESELENGINE</v>
      </c>
      <c r="AI232" s="7" t="str" cm="1">
        <f t="array" ref="AI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2" s="43" t="b">
        <v>1</v>
      </c>
      <c r="AK232" s="8" t="b">
        <v>0</v>
      </c>
      <c r="BB232"/>
      <c r="BC232"/>
      <c r="BD232"/>
    </row>
    <row r="233" spans="1:56">
      <c r="A233" s="2" t="s">
        <v>2949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5" t="str">
        <f>_xlfn.XLOOKUP(PROPERTIES[[#This Row],[VEHIDCODE]],CONTROL[VEHIDCODE],CONTROL[ENGLISH])</f>
        <v>Siemens ER20 'Eurorunner'</v>
      </c>
      <c r="F233" t="s">
        <v>660</v>
      </c>
      <c r="G233" s="45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8">
        <v>80</v>
      </c>
      <c r="R233">
        <v>2680</v>
      </c>
      <c r="S233">
        <v>140</v>
      </c>
      <c r="T233" s="25">
        <v>235</v>
      </c>
      <c r="U233" s="24">
        <f>IFERROR(PROPERTIES[[#This Row],[TE_STARTING_KN]]/(PROPERTIES[[#This Row],[WEIGHT]]*9.81),0)</f>
        <v>0.29943934760448521</v>
      </c>
      <c r="V233" s="24">
        <v>0</v>
      </c>
      <c r="W233" s="21">
        <f>ROUND(IF(IFERROR(PROPERTIES[[#This Row],[TE_COEFFICIENT_CALC]],0)=0,PROPERTIES[[#This Row],[TE_COEFFICIENT_MANUAL]],PROPERTIES[[#This Row],[TE_COEFFICIENT_CALC]]),3)</f>
        <v>0.29899999999999999</v>
      </c>
      <c r="X233" s="9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1">
        <v>0</v>
      </c>
      <c r="Z233" s="7">
        <v>0</v>
      </c>
      <c r="AA233" t="s">
        <v>247</v>
      </c>
      <c r="AB233" t="s">
        <v>239</v>
      </c>
      <c r="AC233" t="s">
        <v>245</v>
      </c>
      <c r="AD233" s="2" t="s">
        <v>238</v>
      </c>
      <c r="AE233" s="2" t="s">
        <v>253</v>
      </c>
      <c r="AF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3" s="2" t="str">
        <f>SUBSTITUTE(SUBSTITUTE(PROPERTIES[[#This Row],[PURCHASECOST_VALUE]], "PURCHASECOST_", ""), "_VALUE", "")</f>
        <v>DIESELENGINE</v>
      </c>
      <c r="AI233" s="7" t="str" cm="1">
        <f t="array" ref="AI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3" s="43" t="b">
        <v>0</v>
      </c>
      <c r="AK233" s="8" t="b">
        <v>0</v>
      </c>
      <c r="BB233"/>
      <c r="BC233"/>
      <c r="BD233"/>
    </row>
    <row r="234" spans="1:56">
      <c r="A234" s="2" t="s">
        <v>2950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5" t="str">
        <f>_xlfn.XLOOKUP(PROPERTIES[[#This Row],[VEHIDCODE]],CONTROL[VEHIDCODE],CONTROL[ENGLISH])</f>
        <v>Voith Maxima 40 CC</v>
      </c>
      <c r="F234" t="s">
        <v>623</v>
      </c>
      <c r="G234" s="45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8">
        <v>135</v>
      </c>
      <c r="R234">
        <v>4900</v>
      </c>
      <c r="S234">
        <v>140</v>
      </c>
      <c r="T234" s="25">
        <v>408</v>
      </c>
      <c r="U234" s="24">
        <f>IFERROR(PROPERTIES[[#This Row],[TE_STARTING_KN]]/(PROPERTIES[[#This Row],[WEIGHT]]*9.81),0)</f>
        <v>0.30807565975761692</v>
      </c>
      <c r="V234" s="24">
        <v>0</v>
      </c>
      <c r="W234" s="21">
        <f>ROUND(IF(IFERROR(PROPERTIES[[#This Row],[TE_COEFFICIENT_CALC]],0)=0,PROPERTIES[[#This Row],[TE_COEFFICIENT_MANUAL]],PROPERTIES[[#This Row],[TE_COEFFICIENT_CALC]]),3)</f>
        <v>0.308</v>
      </c>
      <c r="X234" s="9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1">
        <v>0</v>
      </c>
      <c r="Z234" s="7">
        <v>0</v>
      </c>
      <c r="AA234" t="s">
        <v>239</v>
      </c>
      <c r="AB234" t="s">
        <v>245</v>
      </c>
      <c r="AC234" t="s">
        <v>238</v>
      </c>
      <c r="AD234" s="2" t="s">
        <v>238</v>
      </c>
      <c r="AE234" s="2" t="s">
        <v>253</v>
      </c>
      <c r="AF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4" s="2" t="str">
        <f>SUBSTITUTE(SUBSTITUTE(PROPERTIES[[#This Row],[PURCHASECOST_VALUE]], "PURCHASECOST_", ""), "_VALUE", "")</f>
        <v>DIESELENGINE</v>
      </c>
      <c r="AI234" s="7" t="str" cm="1">
        <f t="array" ref="AI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4" s="43" t="b">
        <v>0</v>
      </c>
      <c r="AK234" s="8" t="b">
        <v>0</v>
      </c>
      <c r="BB234"/>
      <c r="BC234"/>
      <c r="BD234"/>
    </row>
    <row r="235" spans="1:56">
      <c r="A235" s="2" t="s">
        <v>2951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5" t="str">
        <f>_xlfn.XLOOKUP(PROPERTIES[[#This Row],[VEHIDCODE]],CONTROL[VEHIDCODE],CONTROL[ENGLISH])</f>
        <v>Hohenzollern Emch3</v>
      </c>
      <c r="F235" t="s">
        <v>755</v>
      </c>
      <c r="G235" s="45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8">
        <v>88</v>
      </c>
      <c r="R235">
        <v>1200</v>
      </c>
      <c r="S235">
        <v>55</v>
      </c>
      <c r="T235" s="25">
        <f>150*1.3</f>
        <v>195</v>
      </c>
      <c r="U235" s="24">
        <f>IFERROR(PROPERTIES[[#This Row],[TE_STARTING_KN]]/(PROPERTIES[[#This Row],[WEIGHT]]*9.81),0)</f>
        <v>0.22588268001112036</v>
      </c>
      <c r="V235" s="24">
        <v>0</v>
      </c>
      <c r="W235" s="21">
        <f>ROUND(IF(IFERROR(PROPERTIES[[#This Row],[TE_COEFFICIENT_CALC]],0)=0,PROPERTIES[[#This Row],[TE_COEFFICIENT_MANUAL]],PROPERTIES[[#This Row],[TE_COEFFICIENT_CALC]]),3)</f>
        <v>0.22600000000000001</v>
      </c>
      <c r="X235" s="9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1">
        <v>0</v>
      </c>
      <c r="Z235" s="7">
        <v>0</v>
      </c>
      <c r="AA235" t="s">
        <v>2013</v>
      </c>
      <c r="AB235" t="s">
        <v>238</v>
      </c>
      <c r="AC235" t="s">
        <v>238</v>
      </c>
      <c r="AD235" s="2" t="s">
        <v>238</v>
      </c>
      <c r="AE235" s="2" t="s">
        <v>253</v>
      </c>
      <c r="AF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5" s="2" t="str">
        <f>SUBSTITUTE(SUBSTITUTE(PROPERTIES[[#This Row],[PURCHASECOST_VALUE]], "PURCHASECOST_", ""), "_VALUE", "")</f>
        <v>DIESELENGINE</v>
      </c>
      <c r="AI235" s="7" t="str" cm="1">
        <f t="array" ref="AI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5" s="43" t="b">
        <v>0</v>
      </c>
      <c r="AK235" s="8" t="b">
        <v>0</v>
      </c>
      <c r="BB235"/>
      <c r="BC235"/>
      <c r="BD235"/>
    </row>
    <row r="236" spans="1:56">
      <c r="A236" s="2" t="s">
        <v>2952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5" t="str">
        <f>_xlfn.XLOOKUP(PROPERTIES[[#This Row],[VEHIDCODE]],CONTROL[VEHIDCODE],CONTROL[ENGLISH])</f>
        <v>Canadian Locomotive Company V-1</v>
      </c>
      <c r="F236" t="s">
        <v>604</v>
      </c>
      <c r="G236" s="45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8">
        <v>335</v>
      </c>
      <c r="R236">
        <v>2660</v>
      </c>
      <c r="S236">
        <v>112</v>
      </c>
      <c r="T236" s="25">
        <v>213.5</v>
      </c>
      <c r="U236" s="24">
        <f>IFERROR(PROPERTIES[[#This Row],[TE_STARTING_KN]]/(PROPERTIES[[#This Row],[WEIGHT]]*9.81),0)</f>
        <v>6.4965691420572971E-2</v>
      </c>
      <c r="V236" s="24">
        <v>0</v>
      </c>
      <c r="W236" s="21">
        <f>ROUND(IF(IFERROR(PROPERTIES[[#This Row],[TE_COEFFICIENT_CALC]],0)=0,PROPERTIES[[#This Row],[TE_COEFFICIENT_MANUAL]],PROPERTIES[[#This Row],[TE_COEFFICIENT_CALC]]),3)</f>
        <v>6.5000000000000002E-2</v>
      </c>
      <c r="X236" s="9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1">
        <v>0</v>
      </c>
      <c r="Z236" s="7">
        <v>7</v>
      </c>
      <c r="AA236" t="s">
        <v>244</v>
      </c>
      <c r="AB236" t="s">
        <v>238</v>
      </c>
      <c r="AC236" t="s">
        <v>238</v>
      </c>
      <c r="AD236" s="2" t="s">
        <v>238</v>
      </c>
      <c r="AE236" s="2" t="s">
        <v>253</v>
      </c>
      <c r="AF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6" s="2" t="str">
        <f>SUBSTITUTE(SUBSTITUTE(PROPERTIES[[#This Row],[PURCHASECOST_VALUE]], "PURCHASECOST_", ""), "_VALUE", "")</f>
        <v>DIESELENGINE</v>
      </c>
      <c r="AI236" s="7" t="str" cm="1">
        <f t="array" ref="AI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6" s="43" t="b">
        <v>0</v>
      </c>
      <c r="AK236" s="8" t="b">
        <v>0</v>
      </c>
      <c r="BB236"/>
      <c r="BC236"/>
      <c r="BD236"/>
    </row>
    <row r="237" spans="1:56">
      <c r="A237" s="2" t="s">
        <v>2953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5" t="str">
        <f>_xlfn.XLOOKUP(PROPERTIES[[#This Row],[VEHIDCODE]],CONTROL[VEHIDCODE],CONTROL[ENGLISH])</f>
        <v>LMS 7051 Diesel Shunter</v>
      </c>
      <c r="F237" t="s">
        <v>642</v>
      </c>
      <c r="G237" s="45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8">
        <v>22</v>
      </c>
      <c r="R237">
        <v>150</v>
      </c>
      <c r="S237">
        <v>48</v>
      </c>
      <c r="T237" s="25">
        <v>46.8</v>
      </c>
      <c r="U237" s="24">
        <f>IFERROR(PROPERTIES[[#This Row],[TE_STARTING_KN]]/(PROPERTIES[[#This Row],[WEIGHT]]*9.81),0)</f>
        <v>0.21684737281067554</v>
      </c>
      <c r="V237" s="24">
        <v>0</v>
      </c>
      <c r="W237" s="21">
        <f>ROUND(IF(IFERROR(PROPERTIES[[#This Row],[TE_COEFFICIENT_CALC]],0)=0,PROPERTIES[[#This Row],[TE_COEFFICIENT_MANUAL]],PROPERTIES[[#This Row],[TE_COEFFICIENT_CALC]]),3)</f>
        <v>0.217</v>
      </c>
      <c r="X237" s="9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1">
        <v>0</v>
      </c>
      <c r="Z237" s="7">
        <v>0</v>
      </c>
      <c r="AA237" t="s">
        <v>243</v>
      </c>
      <c r="AB237" t="s">
        <v>238</v>
      </c>
      <c r="AC237" t="s">
        <v>238</v>
      </c>
      <c r="AD237" s="2" t="s">
        <v>238</v>
      </c>
      <c r="AE237" s="2" t="s">
        <v>253</v>
      </c>
      <c r="AF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7" s="2" t="str">
        <f>SUBSTITUTE(SUBSTITUTE(PROPERTIES[[#This Row],[PURCHASECOST_VALUE]], "PURCHASECOST_", ""), "_VALUE", "")</f>
        <v>DIESELENGINE</v>
      </c>
      <c r="AI237" s="7" t="str" cm="1">
        <f t="array" ref="AI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37" s="43" t="b">
        <v>0</v>
      </c>
      <c r="AK237" s="8" t="b">
        <v>0</v>
      </c>
      <c r="BB237"/>
      <c r="BC237"/>
      <c r="BD237"/>
    </row>
    <row r="238" spans="1:56">
      <c r="A238" s="2" t="s">
        <v>2954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5" t="str">
        <f>_xlfn.XLOOKUP(PROPERTIES[[#This Row],[VEHIDCODE]],CONTROL[VEHIDCODE],CONTROL[ENGLISH])</f>
        <v>EMC TA</v>
      </c>
      <c r="F238" t="s">
        <v>796</v>
      </c>
      <c r="G238" s="45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8">
        <v>98</v>
      </c>
      <c r="R238">
        <v>1200</v>
      </c>
      <c r="S238">
        <v>180</v>
      </c>
      <c r="T238" s="25">
        <v>125</v>
      </c>
      <c r="U238" s="24">
        <f>IFERROR(PROPERTIES[[#This Row],[TE_STARTING_KN]]/(PROPERTIES[[#This Row],[WEIGHT]]*9.81),0)</f>
        <v>0.13002142753125714</v>
      </c>
      <c r="V238" s="24">
        <v>0</v>
      </c>
      <c r="W238" s="21">
        <f>ROUND(IF(IFERROR(PROPERTIES[[#This Row],[TE_COEFFICIENT_CALC]],0)=0,PROPERTIES[[#This Row],[TE_COEFFICIENT_MANUAL]],PROPERTIES[[#This Row],[TE_COEFFICIENT_CALC]]),3)</f>
        <v>0.13</v>
      </c>
      <c r="X238" s="9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1">
        <v>0</v>
      </c>
      <c r="Z238" s="7">
        <v>0</v>
      </c>
      <c r="AA238" t="s">
        <v>244</v>
      </c>
      <c r="AB238" t="s">
        <v>238</v>
      </c>
      <c r="AC238" t="s">
        <v>238</v>
      </c>
      <c r="AD238" s="2" t="s">
        <v>238</v>
      </c>
      <c r="AE238" s="2" t="s">
        <v>253</v>
      </c>
      <c r="AF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8" s="2" t="str">
        <f>SUBSTITUTE(SUBSTITUTE(PROPERTIES[[#This Row],[PURCHASECOST_VALUE]], "PURCHASECOST_", ""), "_VALUE", "")</f>
        <v>DIESELENGINE</v>
      </c>
      <c r="AI238" s="7" t="str" cm="1">
        <f t="array" ref="AI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38" s="43" t="b">
        <v>0</v>
      </c>
      <c r="AK238" s="8" t="b">
        <v>0</v>
      </c>
      <c r="BB238"/>
      <c r="BC238"/>
      <c r="BD238"/>
    </row>
    <row r="239" spans="1:56">
      <c r="A239" s="2" t="s">
        <v>2955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5" t="str">
        <f>_xlfn.XLOOKUP(PROPERTIES[[#This Row],[VEHIDCODE]],CONTROL[VEHIDCODE],CONTROL[ENGLISH])</f>
        <v>Baldwin VO-660</v>
      </c>
      <c r="F239" t="s">
        <v>796</v>
      </c>
      <c r="G239" s="45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8">
        <v>92</v>
      </c>
      <c r="R239">
        <v>660</v>
      </c>
      <c r="S239">
        <v>64</v>
      </c>
      <c r="T239" s="25">
        <v>226.84</v>
      </c>
      <c r="U239" s="24">
        <f>IFERROR(PROPERTIES[[#This Row],[TE_STARTING_KN]]/(PROPERTIES[[#This Row],[WEIGHT]]*9.81),0)</f>
        <v>0.2513406905110136</v>
      </c>
      <c r="V239" s="24">
        <v>0</v>
      </c>
      <c r="W239" s="21">
        <f>ROUND(IF(IFERROR(PROPERTIES[[#This Row],[TE_COEFFICIENT_CALC]],0)=0,PROPERTIES[[#This Row],[TE_COEFFICIENT_MANUAL]],PROPERTIES[[#This Row],[TE_COEFFICIENT_CALC]]),3)</f>
        <v>0.251</v>
      </c>
      <c r="X239" s="9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1">
        <v>0</v>
      </c>
      <c r="Z239" s="7">
        <v>0</v>
      </c>
      <c r="AA239" t="s">
        <v>244</v>
      </c>
      <c r="AB239" t="s">
        <v>238</v>
      </c>
      <c r="AC239" t="s">
        <v>238</v>
      </c>
      <c r="AD239" s="2" t="s">
        <v>238</v>
      </c>
      <c r="AE239" s="2" t="s">
        <v>253</v>
      </c>
      <c r="AF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9" s="2" t="str">
        <f>SUBSTITUTE(SUBSTITUTE(PROPERTIES[[#This Row],[PURCHASECOST_VALUE]], "PURCHASECOST_", ""), "_VALUE", "")</f>
        <v>DIESELENGINE</v>
      </c>
      <c r="AI239" s="7" t="str" cm="1">
        <f t="array" ref="AI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9" s="43" t="b">
        <v>0</v>
      </c>
      <c r="AK239" s="8" t="b">
        <v>0</v>
      </c>
      <c r="BB239"/>
      <c r="BC239"/>
      <c r="BD239"/>
    </row>
    <row r="240" spans="1:56">
      <c r="A240" s="2" t="s">
        <v>2956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5" t="str">
        <f>_xlfn.XLOOKUP(PROPERTIES[[#This Row],[VEHIDCODE]],CONTROL[VEHIDCODE],CONTROL[ENGLISH])</f>
        <v>LMS No. 7080 'D3/7'</v>
      </c>
      <c r="F240" t="s">
        <v>642</v>
      </c>
      <c r="G240" s="45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8">
        <v>55</v>
      </c>
      <c r="R240">
        <v>350</v>
      </c>
      <c r="S240">
        <v>32</v>
      </c>
      <c r="T240" s="25">
        <v>160</v>
      </c>
      <c r="U240" s="24">
        <f>IFERROR(PROPERTIES[[#This Row],[TE_STARTING_KN]]/(PROPERTIES[[#This Row],[WEIGHT]]*9.81),0)</f>
        <v>0.2965434158094708</v>
      </c>
      <c r="V240" s="24">
        <v>0</v>
      </c>
      <c r="W240" s="21">
        <f>ROUND(IF(IFERROR(PROPERTIES[[#This Row],[TE_COEFFICIENT_CALC]],0)=0,PROPERTIES[[#This Row],[TE_COEFFICIENT_MANUAL]],PROPERTIES[[#This Row],[TE_COEFFICIENT_CALC]]),3)</f>
        <v>0.29699999999999999</v>
      </c>
      <c r="X240" s="9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1">
        <v>0</v>
      </c>
      <c r="Z240" s="7">
        <v>0</v>
      </c>
      <c r="AA240" t="s">
        <v>243</v>
      </c>
      <c r="AB240" t="s">
        <v>238</v>
      </c>
      <c r="AC240" t="s">
        <v>238</v>
      </c>
      <c r="AD240" s="2" t="s">
        <v>238</v>
      </c>
      <c r="AE240" s="2" t="s">
        <v>253</v>
      </c>
      <c r="AF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0" s="2" t="str">
        <f>SUBSTITUTE(SUBSTITUTE(PROPERTIES[[#This Row],[PURCHASECOST_VALUE]], "PURCHASECOST_", ""), "_VALUE", "")</f>
        <v>DIESELENGINE</v>
      </c>
      <c r="AI240" s="7" t="str" cm="1">
        <f t="array" ref="AI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0" s="43" t="b">
        <v>0</v>
      </c>
      <c r="AK240" s="8" t="b">
        <v>0</v>
      </c>
      <c r="BB240"/>
      <c r="BC240"/>
      <c r="BD240"/>
    </row>
    <row r="241" spans="1:56">
      <c r="A241" s="2" t="s">
        <v>2957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5" t="str">
        <f>_xlfn.XLOOKUP(PROPERTIES[[#This Row],[VEHIDCODE]],CONTROL[VEHIDCODE],CONTROL[ENGLISH])</f>
        <v>Queensland Railways DL</v>
      </c>
      <c r="F241" t="s">
        <v>580</v>
      </c>
      <c r="G241" s="45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8">
        <v>18</v>
      </c>
      <c r="R241">
        <v>150</v>
      </c>
      <c r="S241">
        <v>50</v>
      </c>
      <c r="T241" s="25">
        <v>31</v>
      </c>
      <c r="U241" s="24">
        <f>IFERROR(PROPERTIES[[#This Row],[TE_STARTING_KN]]/(PROPERTIES[[#This Row],[WEIGHT]]*9.81),0)</f>
        <v>0.17555782081775964</v>
      </c>
      <c r="V241" s="24">
        <v>0</v>
      </c>
      <c r="W241" s="21">
        <f>ROUND(IF(IFERROR(PROPERTIES[[#This Row],[TE_COEFFICIENT_CALC]],0)=0,PROPERTIES[[#This Row],[TE_COEFFICIENT_MANUAL]],PROPERTIES[[#This Row],[TE_COEFFICIENT_CALC]]),3)</f>
        <v>0.17599999999999999</v>
      </c>
      <c r="X241" s="9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1">
        <v>0</v>
      </c>
      <c r="Z241" s="7">
        <v>0</v>
      </c>
      <c r="AA241" t="s">
        <v>241</v>
      </c>
      <c r="AB241" t="s">
        <v>238</v>
      </c>
      <c r="AC241" t="s">
        <v>238</v>
      </c>
      <c r="AD241" s="2" t="s">
        <v>238</v>
      </c>
      <c r="AE241" s="2" t="s">
        <v>253</v>
      </c>
      <c r="AF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1" s="2" t="str">
        <f>SUBSTITUTE(SUBSTITUTE(PROPERTIES[[#This Row],[PURCHASECOST_VALUE]], "PURCHASECOST_", ""), "_VALUE", "")</f>
        <v>DIESELENGINE</v>
      </c>
      <c r="AI241" s="7" t="str" cm="1">
        <f t="array" ref="AI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1" s="43" t="b">
        <v>0</v>
      </c>
      <c r="AK241" s="8" t="b">
        <v>0</v>
      </c>
      <c r="BB241"/>
      <c r="BC241"/>
      <c r="BD241"/>
    </row>
    <row r="242" spans="1:56">
      <c r="A242" s="2" t="s">
        <v>2958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5" t="str">
        <f>_xlfn.XLOOKUP(PROPERTIES[[#This Row],[VEHIDCODE]],CONTROL[VEHIDCODE],CONTROL[ENGLISH])</f>
        <v>FM H-10-44</v>
      </c>
      <c r="F242" t="s">
        <v>796</v>
      </c>
      <c r="G242" s="45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8">
        <v>109</v>
      </c>
      <c r="R242">
        <v>1000</v>
      </c>
      <c r="S242">
        <v>97</v>
      </c>
      <c r="T242" s="25">
        <v>179.9</v>
      </c>
      <c r="U242" s="24">
        <f>IFERROR(PROPERTIES[[#This Row],[TE_STARTING_KN]]/(PROPERTIES[[#This Row],[WEIGHT]]*9.81),0)</f>
        <v>0.16824247865406017</v>
      </c>
      <c r="V242" s="24">
        <v>0</v>
      </c>
      <c r="W242" s="21">
        <f>ROUND(IF(IFERROR(PROPERTIES[[#This Row],[TE_COEFFICIENT_CALC]],0)=0,PROPERTIES[[#This Row],[TE_COEFFICIENT_MANUAL]],PROPERTIES[[#This Row],[TE_COEFFICIENT_CALC]]),3)</f>
        <v>0.16800000000000001</v>
      </c>
      <c r="X242" s="9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1">
        <v>0</v>
      </c>
      <c r="Z242" s="7">
        <v>0</v>
      </c>
      <c r="AA242" t="s">
        <v>244</v>
      </c>
      <c r="AB242" t="s">
        <v>238</v>
      </c>
      <c r="AC242" t="s">
        <v>238</v>
      </c>
      <c r="AD242" s="2" t="s">
        <v>238</v>
      </c>
      <c r="AE242" s="2" t="s">
        <v>253</v>
      </c>
      <c r="AF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2" s="2" t="str">
        <f>SUBSTITUTE(SUBSTITUTE(PROPERTIES[[#This Row],[PURCHASECOST_VALUE]], "PURCHASECOST_", ""), "_VALUE", "")</f>
        <v>DIESELENGINE</v>
      </c>
      <c r="AI242" s="7" t="str" cm="1">
        <f t="array" ref="AI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2" s="43" t="b">
        <v>0</v>
      </c>
      <c r="AK242" s="8" t="b">
        <v>0</v>
      </c>
      <c r="BB242"/>
      <c r="BC242"/>
      <c r="BD242"/>
    </row>
    <row r="243" spans="1:56">
      <c r="A243" s="2" t="s">
        <v>2959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5" t="str">
        <f>_xlfn.XLOOKUP(PROPERTIES[[#This Row],[VEHIDCODE]],CONTROL[VEHIDCODE],CONTROL[ENGLISH])</f>
        <v>Baldwin DRS6-4-1000</v>
      </c>
      <c r="F243" t="s">
        <v>628</v>
      </c>
      <c r="G243" s="45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8">
        <v>92</v>
      </c>
      <c r="R243">
        <v>1000</v>
      </c>
      <c r="S243">
        <v>80</v>
      </c>
      <c r="T243" s="25">
        <v>0</v>
      </c>
      <c r="U243" s="24">
        <f>IFERROR(PROPERTIES[[#This Row],[TE_STARTING_KN]]/(PROPERTIES[[#This Row],[WEIGHT]]*9.81),0)</f>
        <v>0</v>
      </c>
      <c r="V243" s="24">
        <v>0.14000000000000001</v>
      </c>
      <c r="W243" s="21">
        <f>ROUND(IF(IFERROR(PROPERTIES[[#This Row],[TE_COEFFICIENT_CALC]],0)=0,PROPERTIES[[#This Row],[TE_COEFFICIENT_MANUAL]],PROPERTIES[[#This Row],[TE_COEFFICIENT_CALC]]),3)</f>
        <v>0.14000000000000001</v>
      </c>
      <c r="X243" s="9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1">
        <v>0</v>
      </c>
      <c r="Z243" s="7">
        <v>0</v>
      </c>
      <c r="AA243" t="s">
        <v>242</v>
      </c>
      <c r="AB243" t="s">
        <v>238</v>
      </c>
      <c r="AC243" t="s">
        <v>238</v>
      </c>
      <c r="AD243" s="2" t="s">
        <v>238</v>
      </c>
      <c r="AE243" s="2" t="s">
        <v>253</v>
      </c>
      <c r="AF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3" s="2" t="str">
        <f>SUBSTITUTE(SUBSTITUTE(PROPERTIES[[#This Row],[PURCHASECOST_VALUE]], "PURCHASECOST_", ""), "_VALUE", "")</f>
        <v>DIESELENGINE</v>
      </c>
      <c r="AI243" s="7" t="str" cm="1">
        <f t="array" ref="AI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3" s="43" t="b">
        <v>0</v>
      </c>
      <c r="AK243" s="8" t="b">
        <v>0</v>
      </c>
      <c r="BB243"/>
      <c r="BC243"/>
      <c r="BD243"/>
    </row>
    <row r="244" spans="1:56">
      <c r="A244" s="2" t="s">
        <v>2960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5" t="str">
        <f>_xlfn.XLOOKUP(PROPERTIES[[#This Row],[VEHIDCODE]],CONTROL[VEHIDCODE],CONTROL[ENGLISH])</f>
        <v>CIE 113</v>
      </c>
      <c r="F244" t="s">
        <v>667</v>
      </c>
      <c r="G244" s="45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8">
        <v>81</v>
      </c>
      <c r="R244">
        <v>915</v>
      </c>
      <c r="S244">
        <v>88</v>
      </c>
      <c r="T244" s="25">
        <v>205</v>
      </c>
      <c r="U244" s="24">
        <f>IFERROR(PROPERTIES[[#This Row],[TE_STARTING_KN]]/(PROPERTIES[[#This Row],[WEIGHT]]*9.81),0)</f>
        <v>0.25798819546695861</v>
      </c>
      <c r="V244" s="24">
        <v>0</v>
      </c>
      <c r="W244" s="21">
        <f>ROUND(IF(IFERROR(PROPERTIES[[#This Row],[TE_COEFFICIENT_CALC]],0)=0,PROPERTIES[[#This Row],[TE_COEFFICIENT_MANUAL]],PROPERTIES[[#This Row],[TE_COEFFICIENT_CALC]]),3)</f>
        <v>0.25800000000000001</v>
      </c>
      <c r="X244" s="9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1">
        <v>0</v>
      </c>
      <c r="Z244" s="7">
        <v>0</v>
      </c>
      <c r="AA244" t="s">
        <v>243</v>
      </c>
      <c r="AB244" t="s">
        <v>238</v>
      </c>
      <c r="AC244" t="s">
        <v>238</v>
      </c>
      <c r="AD244" s="2" t="s">
        <v>238</v>
      </c>
      <c r="AE244" s="2" t="s">
        <v>253</v>
      </c>
      <c r="AF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4" s="2" t="str">
        <f>SUBSTITUTE(SUBSTITUTE(PROPERTIES[[#This Row],[PURCHASECOST_VALUE]], "PURCHASECOST_", ""), "_VALUE", "")</f>
        <v>DIESELENGINE</v>
      </c>
      <c r="AI244" s="7" t="str" cm="1">
        <f t="array" ref="AI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4" s="43" t="b">
        <v>0</v>
      </c>
      <c r="AK244" s="8" t="b">
        <v>0</v>
      </c>
      <c r="BB244"/>
      <c r="BC244"/>
      <c r="BD244"/>
    </row>
    <row r="245" spans="1:56">
      <c r="A245" s="2" t="s">
        <v>2961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5" t="str">
        <f>_xlfn.XLOOKUP(PROPERTIES[[#This Row],[VEHIDCODE]],CONTROL[VEHIDCODE],CONTROL[ENGLISH])</f>
        <v>Baldwin AS-616</v>
      </c>
      <c r="F245" t="s">
        <v>597</v>
      </c>
      <c r="G245" s="45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8">
        <v>148</v>
      </c>
      <c r="R245">
        <v>1600</v>
      </c>
      <c r="S245">
        <v>100</v>
      </c>
      <c r="T245" s="25">
        <v>434</v>
      </c>
      <c r="U245" s="24">
        <f>IFERROR(PROPERTIES[[#This Row],[TE_STARTING_KN]]/(PROPERTIES[[#This Row],[WEIGHT]]*9.81),0)</f>
        <v>0.29892277598699613</v>
      </c>
      <c r="V245" s="24">
        <v>0</v>
      </c>
      <c r="W245" s="21">
        <f>ROUND(IF(IFERROR(PROPERTIES[[#This Row],[TE_COEFFICIENT_CALC]],0)=0,PROPERTIES[[#This Row],[TE_COEFFICIENT_MANUAL]],PROPERTIES[[#This Row],[TE_COEFFICIENT_CALC]]),3)</f>
        <v>0.29899999999999999</v>
      </c>
      <c r="X245" s="9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1">
        <v>0</v>
      </c>
      <c r="Z245" s="7">
        <v>0</v>
      </c>
      <c r="AA245" t="s">
        <v>249</v>
      </c>
      <c r="AB245" t="s">
        <v>238</v>
      </c>
      <c r="AC245" t="s">
        <v>238</v>
      </c>
      <c r="AD245" s="2" t="s">
        <v>238</v>
      </c>
      <c r="AE245" s="2" t="s">
        <v>253</v>
      </c>
      <c r="AF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5" s="2" t="str">
        <f>SUBSTITUTE(SUBSTITUTE(PROPERTIES[[#This Row],[PURCHASECOST_VALUE]], "PURCHASECOST_", ""), "_VALUE", "")</f>
        <v>DIESELENGINE</v>
      </c>
      <c r="AI245" s="7" t="str" cm="1">
        <f t="array" ref="AI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45" s="43" t="b">
        <v>0</v>
      </c>
      <c r="AK245" s="8" t="b">
        <v>0</v>
      </c>
      <c r="BB245"/>
      <c r="BC245"/>
      <c r="BD245"/>
    </row>
    <row r="246" spans="1:56">
      <c r="A246" s="2" t="s">
        <v>2962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5" t="str">
        <f>_xlfn.XLOOKUP(PROPERTIES[[#This Row],[VEHIDCODE]],CONTROL[VEHIDCODE],CONTROL[ENGLISH])</f>
        <v>FM H-16-44</v>
      </c>
      <c r="F246" t="s">
        <v>722</v>
      </c>
      <c r="G246" s="45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8">
        <v>113</v>
      </c>
      <c r="R246">
        <v>1600</v>
      </c>
      <c r="S246">
        <v>105</v>
      </c>
      <c r="T246" s="25">
        <v>187.4</v>
      </c>
      <c r="U246" s="24">
        <f>IFERROR(PROPERTIES[[#This Row],[TE_STARTING_KN]]/(PROPERTIES[[#This Row],[WEIGHT]]*9.81),0)</f>
        <v>0.16905270944403852</v>
      </c>
      <c r="V246" s="24">
        <v>0</v>
      </c>
      <c r="W246" s="21">
        <f>ROUND(IF(IFERROR(PROPERTIES[[#This Row],[TE_COEFFICIENT_CALC]],0)=0,PROPERTIES[[#This Row],[TE_COEFFICIENT_MANUAL]],PROPERTIES[[#This Row],[TE_COEFFICIENT_CALC]]),3)</f>
        <v>0.16900000000000001</v>
      </c>
      <c r="X246" s="9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1">
        <v>0</v>
      </c>
      <c r="Z246" s="7">
        <v>0</v>
      </c>
      <c r="AA246" t="s">
        <v>244</v>
      </c>
      <c r="AB246" t="s">
        <v>238</v>
      </c>
      <c r="AC246" t="s">
        <v>238</v>
      </c>
      <c r="AD246" s="2" t="s">
        <v>238</v>
      </c>
      <c r="AE246" s="2" t="s">
        <v>253</v>
      </c>
      <c r="AF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6" s="2" t="str">
        <f>SUBSTITUTE(SUBSTITUTE(PROPERTIES[[#This Row],[PURCHASECOST_VALUE]], "PURCHASECOST_", ""), "_VALUE", "")</f>
        <v>DIESELENGINE</v>
      </c>
      <c r="AI246" s="7" t="str" cm="1">
        <f t="array" ref="AI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6" s="43" t="b">
        <v>0</v>
      </c>
      <c r="AK246" s="8" t="b">
        <v>0</v>
      </c>
      <c r="BB246"/>
      <c r="BC246"/>
      <c r="BD246"/>
    </row>
    <row r="247" spans="1:56">
      <c r="A247" s="2" t="s">
        <v>2963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5" t="str">
        <f>_xlfn.XLOOKUP(PROPERTIES[[#This Row],[VEHIDCODE]],CONTROL[VEHIDCODE],CONTROL[ENGLISH])</f>
        <v>Islington Railway Workshops SAR 900</v>
      </c>
      <c r="F247" t="s">
        <v>580</v>
      </c>
      <c r="G247" s="45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8">
        <v>121</v>
      </c>
      <c r="R247">
        <v>1590</v>
      </c>
      <c r="S247">
        <v>121</v>
      </c>
      <c r="T247" s="25">
        <v>249.1</v>
      </c>
      <c r="U247" s="24">
        <f>IFERROR(PROPERTIES[[#This Row],[TE_STARTING_KN]]/(PROPERTIES[[#This Row],[WEIGHT]]*9.81),0)</f>
        <v>0.20985501385834998</v>
      </c>
      <c r="V247" s="24">
        <v>0</v>
      </c>
      <c r="W247" s="21">
        <f>ROUND(IF(IFERROR(PROPERTIES[[#This Row],[TE_COEFFICIENT_CALC]],0)=0,PROPERTIES[[#This Row],[TE_COEFFICIENT_MANUAL]],PROPERTIES[[#This Row],[TE_COEFFICIENT_CALC]]),3)</f>
        <v>0.21</v>
      </c>
      <c r="X247" s="9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1">
        <v>0</v>
      </c>
      <c r="Z247" s="7">
        <v>0</v>
      </c>
      <c r="AA247" t="s">
        <v>241</v>
      </c>
      <c r="AB247" t="s">
        <v>238</v>
      </c>
      <c r="AC247" t="s">
        <v>238</v>
      </c>
      <c r="AD247" s="2" t="s">
        <v>238</v>
      </c>
      <c r="AE247" s="2" t="s">
        <v>253</v>
      </c>
      <c r="AF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7" s="2" t="str">
        <f>SUBSTITUTE(SUBSTITUTE(PROPERTIES[[#This Row],[PURCHASECOST_VALUE]], "PURCHASECOST_", ""), "_VALUE", "")</f>
        <v>DIESELENGINE</v>
      </c>
      <c r="AI247" s="7" t="str" cm="1">
        <f t="array" ref="AI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7" s="43" t="b">
        <v>0</v>
      </c>
      <c r="AK247" s="8" t="b">
        <v>0</v>
      </c>
      <c r="BB247"/>
      <c r="BC247"/>
      <c r="BD247"/>
    </row>
    <row r="248" spans="1:56">
      <c r="A248" s="2" t="s">
        <v>2964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5" t="str">
        <f>_xlfn.XLOOKUP(PROPERTIES[[#This Row],[VEHIDCODE]],CONTROL[VEHIDCODE],CONTROL[ENGLISH])</f>
        <v>EMD G12</v>
      </c>
      <c r="F248" t="s">
        <v>796</v>
      </c>
      <c r="G248" s="45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8">
        <v>79</v>
      </c>
      <c r="R248">
        <v>1425</v>
      </c>
      <c r="S248">
        <v>112</v>
      </c>
      <c r="T248" s="25">
        <v>0</v>
      </c>
      <c r="U248" s="24">
        <f>IFERROR(PROPERTIES[[#This Row],[TE_STARTING_KN]]/(PROPERTIES[[#This Row],[WEIGHT]]*9.81),0)</f>
        <v>0</v>
      </c>
      <c r="V248" s="24">
        <v>0.24</v>
      </c>
      <c r="W248" s="21">
        <f>ROUND(IF(IFERROR(PROPERTIES[[#This Row],[TE_COEFFICIENT_CALC]],0)=0,PROPERTIES[[#This Row],[TE_COEFFICIENT_MANUAL]],PROPERTIES[[#This Row],[TE_COEFFICIENT_CALC]]),3)</f>
        <v>0.24</v>
      </c>
      <c r="X248" s="9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1">
        <v>0</v>
      </c>
      <c r="Z248" s="7">
        <v>0</v>
      </c>
      <c r="AA248" t="s">
        <v>2012</v>
      </c>
      <c r="AB248" t="s">
        <v>249</v>
      </c>
      <c r="AC248" t="s">
        <v>242</v>
      </c>
      <c r="AD248" s="2" t="s">
        <v>2015</v>
      </c>
      <c r="AE248" s="2" t="s">
        <v>253</v>
      </c>
      <c r="AF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8" s="2" t="str">
        <f>SUBSTITUTE(SUBSTITUTE(PROPERTIES[[#This Row],[PURCHASECOST_VALUE]], "PURCHASECOST_", ""), "_VALUE", "")</f>
        <v>DIESELENGINE</v>
      </c>
      <c r="AI248" s="7" t="str" cm="1">
        <f t="array" ref="AI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8" s="43" t="b">
        <v>0</v>
      </c>
      <c r="AK248" s="8" t="b">
        <v>0</v>
      </c>
      <c r="BB248"/>
      <c r="BC248"/>
      <c r="BD248"/>
    </row>
    <row r="249" spans="1:56">
      <c r="A249" s="2" t="s">
        <v>2965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5" t="str">
        <f>_xlfn.XLOOKUP(PROPERTIES[[#This Row],[VEHIDCODE]],CONTROL[VEHIDCODE],CONTROL[ENGLISH])</f>
        <v>Metropolitan-Vickers/CIE 001</v>
      </c>
      <c r="F249" t="s">
        <v>667</v>
      </c>
      <c r="G249" s="45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8">
        <v>82</v>
      </c>
      <c r="R249">
        <v>1325</v>
      </c>
      <c r="S249">
        <v>120</v>
      </c>
      <c r="T249" s="25">
        <v>275</v>
      </c>
      <c r="U249" s="24">
        <f>IFERROR(PROPERTIES[[#This Row],[TE_STARTING_KN]]/(PROPERTIES[[#This Row],[WEIGHT]]*9.81),0)</f>
        <v>0.34186121677730535</v>
      </c>
      <c r="V249" s="24">
        <v>0</v>
      </c>
      <c r="W249" s="21">
        <f>ROUND(IF(IFERROR(PROPERTIES[[#This Row],[TE_COEFFICIENT_CALC]],0)=0,PROPERTIES[[#This Row],[TE_COEFFICIENT_MANUAL]],PROPERTIES[[#This Row],[TE_COEFFICIENT_CALC]]),3)</f>
        <v>0.34200000000000003</v>
      </c>
      <c r="X249" s="9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1">
        <v>0</v>
      </c>
      <c r="Z249" s="7">
        <v>0</v>
      </c>
      <c r="AA249" t="s">
        <v>243</v>
      </c>
      <c r="AB249" t="s">
        <v>238</v>
      </c>
      <c r="AC249" t="s">
        <v>238</v>
      </c>
      <c r="AD249" s="2" t="s">
        <v>238</v>
      </c>
      <c r="AE249" s="2" t="s">
        <v>253</v>
      </c>
      <c r="AF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9" s="2" t="str">
        <f>SUBSTITUTE(SUBSTITUTE(PROPERTIES[[#This Row],[PURCHASECOST_VALUE]], "PURCHASECOST_", ""), "_VALUE", "")</f>
        <v>DIESELENGINE</v>
      </c>
      <c r="AI249" s="7" t="str" cm="1">
        <f t="array" ref="AI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9" s="43" t="b">
        <v>0</v>
      </c>
      <c r="AK249" s="8" t="b">
        <v>0</v>
      </c>
      <c r="BB249"/>
      <c r="BC249"/>
      <c r="BD249"/>
    </row>
    <row r="250" spans="1:56">
      <c r="A250" s="2" t="s">
        <v>2966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5" t="str">
        <f>_xlfn.XLOOKUP(PROPERTIES[[#This Row],[VEHIDCODE]],CONTROL[VEHIDCODE],CONTROL[ENGLISH])</f>
        <v>Fiat Grandi Motori D.341</v>
      </c>
      <c r="F250" t="s">
        <v>675</v>
      </c>
      <c r="G250" s="45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8">
        <v>67</v>
      </c>
      <c r="R250">
        <v>1380</v>
      </c>
      <c r="S250">
        <v>110</v>
      </c>
      <c r="T250" s="25">
        <v>0</v>
      </c>
      <c r="U250" s="24">
        <f>IFERROR(PROPERTIES[[#This Row],[TE_STARTING_KN]]/(PROPERTIES[[#This Row],[WEIGHT]]*9.81),0)</f>
        <v>0</v>
      </c>
      <c r="V250" s="24">
        <v>0.26</v>
      </c>
      <c r="W250" s="21">
        <f>ROUND(IF(IFERROR(PROPERTIES[[#This Row],[TE_COEFFICIENT_CALC]],0)=0,PROPERTIES[[#This Row],[TE_COEFFICIENT_MANUAL]],PROPERTIES[[#This Row],[TE_COEFFICIENT_CALC]]),3)</f>
        <v>0.26</v>
      </c>
      <c r="X250" s="9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1">
        <v>0</v>
      </c>
      <c r="Z250" s="7">
        <v>0</v>
      </c>
      <c r="AA250" t="s">
        <v>240</v>
      </c>
      <c r="AB250" t="s">
        <v>238</v>
      </c>
      <c r="AC250" t="s">
        <v>238</v>
      </c>
      <c r="AD250" s="2" t="s">
        <v>238</v>
      </c>
      <c r="AE250" s="2" t="s">
        <v>253</v>
      </c>
      <c r="AF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0" s="2" t="str">
        <f>SUBSTITUTE(SUBSTITUTE(PROPERTIES[[#This Row],[PURCHASECOST_VALUE]], "PURCHASECOST_", ""), "_VALUE", "")</f>
        <v>DIESELENGINE</v>
      </c>
      <c r="AI250" s="7" t="str" cm="1">
        <f t="array" ref="AI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0" s="43" t="b">
        <v>0</v>
      </c>
      <c r="AK250" s="8" t="b">
        <v>0</v>
      </c>
      <c r="BB250"/>
      <c r="BC250"/>
      <c r="BD250"/>
    </row>
    <row r="251" spans="1:56">
      <c r="A251" s="2" t="s">
        <v>2967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5" t="str">
        <f>_xlfn.XLOOKUP(PROPERTIES[[#This Row],[VEHIDCODE]],CONTROL[VEHIDCODE],CONTROL[ENGLISH])</f>
        <v>ALCO/AE Goodwin DL-500B</v>
      </c>
      <c r="F251" t="s">
        <v>580</v>
      </c>
      <c r="G251" s="45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8">
        <v>112</v>
      </c>
      <c r="R251">
        <v>1950</v>
      </c>
      <c r="S251">
        <v>129</v>
      </c>
      <c r="T251" s="25">
        <v>254</v>
      </c>
      <c r="U251" s="24">
        <f>IFERROR(PROPERTIES[[#This Row],[TE_STARTING_KN]]/(PROPERTIES[[#This Row],[WEIGHT]]*9.81),0)</f>
        <v>0.23117809815057522</v>
      </c>
      <c r="V251" s="24">
        <v>0</v>
      </c>
      <c r="W251" s="21">
        <f>ROUND(IF(IFERROR(PROPERTIES[[#This Row],[TE_COEFFICIENT_CALC]],0)=0,PROPERTIES[[#This Row],[TE_COEFFICIENT_MANUAL]],PROPERTIES[[#This Row],[TE_COEFFICIENT_CALC]]),3)</f>
        <v>0.23100000000000001</v>
      </c>
      <c r="X251" s="9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1">
        <v>0</v>
      </c>
      <c r="Z251" s="7">
        <v>0</v>
      </c>
      <c r="AA251" t="s">
        <v>241</v>
      </c>
      <c r="AB251" t="s">
        <v>238</v>
      </c>
      <c r="AC251" t="s">
        <v>238</v>
      </c>
      <c r="AD251" s="2" t="s">
        <v>238</v>
      </c>
      <c r="AE251" s="2" t="s">
        <v>253</v>
      </c>
      <c r="AF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1" s="2" t="str">
        <f>SUBSTITUTE(SUBSTITUTE(PROPERTIES[[#This Row],[PURCHASECOST_VALUE]], "PURCHASECOST_", ""), "_VALUE", "")</f>
        <v>DIESELENGINE</v>
      </c>
      <c r="AI251" s="7" t="str" cm="1">
        <f t="array" ref="AI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1" s="43" t="b">
        <v>0</v>
      </c>
      <c r="AK251" s="8" t="b">
        <v>1</v>
      </c>
      <c r="BB251"/>
      <c r="BC251"/>
      <c r="BD251"/>
    </row>
    <row r="252" spans="1:56">
      <c r="A252" s="2" t="s">
        <v>2968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5" t="str">
        <f>_xlfn.XLOOKUP(PROPERTIES[[#This Row],[VEHIDCODE]],CONTROL[VEHIDCODE],CONTROL[ENGLISH])</f>
        <v>Henschel DH-1420</v>
      </c>
      <c r="F252" t="s">
        <v>812</v>
      </c>
      <c r="G252" s="45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8">
        <v>76</v>
      </c>
      <c r="R252">
        <v>1316</v>
      </c>
      <c r="S252">
        <v>89</v>
      </c>
      <c r="T252" s="25">
        <v>197.2</v>
      </c>
      <c r="U252" s="24">
        <f>IFERROR(PROPERTIES[[#This Row],[TE_STARTING_KN]]/(PROPERTIES[[#This Row],[WEIGHT]]*9.81),0)</f>
        <v>0.26449916841032239</v>
      </c>
      <c r="V252" s="24">
        <v>0</v>
      </c>
      <c r="W252" s="21">
        <f>ROUND(IF(IFERROR(PROPERTIES[[#This Row],[TE_COEFFICIENT_CALC]],0)=0,PROPERTIES[[#This Row],[TE_COEFFICIENT_MANUAL]],PROPERTIES[[#This Row],[TE_COEFFICIENT_CALC]]),3)</f>
        <v>0.26400000000000001</v>
      </c>
      <c r="X252" s="9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1">
        <v>0</v>
      </c>
      <c r="Z252" s="7">
        <v>0</v>
      </c>
      <c r="AA252" t="s">
        <v>242</v>
      </c>
      <c r="AB252" t="s">
        <v>238</v>
      </c>
      <c r="AC252" t="s">
        <v>238</v>
      </c>
      <c r="AD252" s="2" t="s">
        <v>238</v>
      </c>
      <c r="AE252" s="2" t="s">
        <v>253</v>
      </c>
      <c r="AF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2" s="2" t="str">
        <f>SUBSTITUTE(SUBSTITUTE(PROPERTIES[[#This Row],[PURCHASECOST_VALUE]], "PURCHASECOST_", ""), "_VALUE", "")</f>
        <v>DIESELENGINE</v>
      </c>
      <c r="AI252" s="7" t="str" cm="1">
        <f t="array" ref="AI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52" s="43" t="b">
        <v>0</v>
      </c>
      <c r="AK252" s="8" t="b">
        <v>0</v>
      </c>
      <c r="BB252"/>
      <c r="BC252"/>
      <c r="BD252"/>
    </row>
    <row r="253" spans="1:56">
      <c r="A253" s="2" t="s">
        <v>2969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5" t="str">
        <f>_xlfn.XLOOKUP(PROPERTIES[[#This Row],[VEHIDCODE]],CONTROL[VEHIDCODE],CONTROL[ENGLISH])</f>
        <v>EMD SD18</v>
      </c>
      <c r="F253" t="s">
        <v>796</v>
      </c>
      <c r="G253" s="45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8">
        <v>177</v>
      </c>
      <c r="R253">
        <v>1800</v>
      </c>
      <c r="S253">
        <v>104</v>
      </c>
      <c r="T253" s="25">
        <v>433</v>
      </c>
      <c r="U253" s="24">
        <f>IFERROR(PROPERTIES[[#This Row],[TE_STARTING_KN]]/(PROPERTIES[[#This Row],[WEIGHT]]*9.81),0)</f>
        <v>0.2493708138242425</v>
      </c>
      <c r="V253" s="24">
        <v>0</v>
      </c>
      <c r="W253" s="21">
        <f>ROUND(IF(IFERROR(PROPERTIES[[#This Row],[TE_COEFFICIENT_CALC]],0)=0,PROPERTIES[[#This Row],[TE_COEFFICIENT_MANUAL]],PROPERTIES[[#This Row],[TE_COEFFICIENT_CALC]]),3)</f>
        <v>0.249</v>
      </c>
      <c r="X253" s="9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1">
        <v>0</v>
      </c>
      <c r="Z253" s="7">
        <v>0</v>
      </c>
      <c r="AA253" t="s">
        <v>247</v>
      </c>
      <c r="AB253" t="s">
        <v>249</v>
      </c>
      <c r="AC253" t="s">
        <v>238</v>
      </c>
      <c r="AD253" s="2" t="s">
        <v>238</v>
      </c>
      <c r="AE253" s="2" t="s">
        <v>253</v>
      </c>
      <c r="AF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3" s="2" t="str">
        <f>SUBSTITUTE(SUBSTITUTE(PROPERTIES[[#This Row],[PURCHASECOST_VALUE]], "PURCHASECOST_", ""), "_VALUE", "")</f>
        <v>DIESELENGINE</v>
      </c>
      <c r="AI253" s="7" t="str" cm="1">
        <f t="array" ref="AI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3" s="43" t="b">
        <v>0</v>
      </c>
      <c r="AK253" s="8" t="b">
        <v>0</v>
      </c>
      <c r="BB253"/>
      <c r="BC253"/>
      <c r="BD253"/>
    </row>
    <row r="254" spans="1:56">
      <c r="A254" s="2" t="s">
        <v>2970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5" t="str">
        <f>_xlfn.XLOOKUP(PROPERTIES[[#This Row],[VEHIDCODE]],CONTROL[VEHIDCODE],CONTROL[ENGLISH])</f>
        <v>Fiat Grandi Motori D.345</v>
      </c>
      <c r="F254" t="s">
        <v>675</v>
      </c>
      <c r="G254" s="45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8">
        <v>62</v>
      </c>
      <c r="R254">
        <v>1010</v>
      </c>
      <c r="S254">
        <v>130</v>
      </c>
      <c r="T254" s="25">
        <v>0</v>
      </c>
      <c r="U254" s="24">
        <f>IFERROR(PROPERTIES[[#This Row],[TE_STARTING_KN]]/(PROPERTIES[[#This Row],[WEIGHT]]*9.81),0)</f>
        <v>0</v>
      </c>
      <c r="V254" s="24">
        <v>0.3</v>
      </c>
      <c r="W254" s="21">
        <f>ROUND(IF(IFERROR(PROPERTIES[[#This Row],[TE_COEFFICIENT_CALC]],0)=0,PROPERTIES[[#This Row],[TE_COEFFICIENT_MANUAL]],PROPERTIES[[#This Row],[TE_COEFFICIENT_CALC]]),3)</f>
        <v>0.3</v>
      </c>
      <c r="X254" s="9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1">
        <v>0</v>
      </c>
      <c r="Z254" s="7">
        <v>0</v>
      </c>
      <c r="AA254" t="s">
        <v>240</v>
      </c>
      <c r="AB254" t="s">
        <v>238</v>
      </c>
      <c r="AC254" t="s">
        <v>238</v>
      </c>
      <c r="AD254" s="2" t="s">
        <v>238</v>
      </c>
      <c r="AE254" s="2" t="s">
        <v>253</v>
      </c>
      <c r="AF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4" s="2" t="str">
        <f>SUBSTITUTE(SUBSTITUTE(PROPERTIES[[#This Row],[PURCHASECOST_VALUE]], "PURCHASECOST_", ""), "_VALUE", "")</f>
        <v>DIESELENGINE</v>
      </c>
      <c r="AI254" s="7" t="str" cm="1">
        <f t="array" ref="AI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4" s="43" t="b">
        <v>0</v>
      </c>
      <c r="AK254" s="8" t="b">
        <v>0</v>
      </c>
      <c r="BB254"/>
      <c r="BC254"/>
      <c r="BD254"/>
    </row>
    <row r="255" spans="1:56">
      <c r="A255" s="2" t="s">
        <v>2971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5" t="str">
        <f>_xlfn.XLOOKUP(PROPERTIES[[#This Row],[VEHIDCODE]],CONTROL[VEHIDCODE],CONTROL[ENGLISH])</f>
        <v>Henschel Di4</v>
      </c>
      <c r="F255" t="s">
        <v>732</v>
      </c>
      <c r="G255" s="45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8">
        <v>120</v>
      </c>
      <c r="R255">
        <v>3290</v>
      </c>
      <c r="S255">
        <v>140</v>
      </c>
      <c r="T255" s="25">
        <v>360</v>
      </c>
      <c r="U255" s="24">
        <f>IFERROR(PROPERTIES[[#This Row],[TE_STARTING_KN]]/(PROPERTIES[[#This Row],[WEIGHT]]*9.81),0)</f>
        <v>0.3058103975535168</v>
      </c>
      <c r="V255" s="24">
        <v>0</v>
      </c>
      <c r="W255" s="21">
        <f>ROUND(IF(IFERROR(PROPERTIES[[#This Row],[TE_COEFFICIENT_CALC]],0)=0,PROPERTIES[[#This Row],[TE_COEFFICIENT_MANUAL]],PROPERTIES[[#This Row],[TE_COEFFICIENT_CALC]]),3)</f>
        <v>0.30599999999999999</v>
      </c>
      <c r="X255" s="9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1">
        <v>0</v>
      </c>
      <c r="Z255" s="7">
        <v>0</v>
      </c>
      <c r="AA255" t="s">
        <v>243</v>
      </c>
      <c r="AB255" t="s">
        <v>238</v>
      </c>
      <c r="AC255" t="s">
        <v>238</v>
      </c>
      <c r="AD255" s="2" t="s">
        <v>238</v>
      </c>
      <c r="AE255" s="2" t="s">
        <v>253</v>
      </c>
      <c r="AF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5" s="2" t="str">
        <f>SUBSTITUTE(SUBSTITUTE(PROPERTIES[[#This Row],[PURCHASECOST_VALUE]], "PURCHASECOST_", ""), "_VALUE", "")</f>
        <v>DIESELENGINE</v>
      </c>
      <c r="AI255" s="7" t="str" cm="1">
        <f t="array" ref="AI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5" s="43" t="b">
        <v>0</v>
      </c>
      <c r="AK255" s="8" t="b">
        <v>0</v>
      </c>
      <c r="BB255"/>
      <c r="BC255"/>
      <c r="BD255"/>
    </row>
    <row r="256" spans="1:56">
      <c r="A256" s="2" t="s">
        <v>2972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5" t="str">
        <f>_xlfn.XLOOKUP(PROPERTIES[[#This Row],[VEHIDCODE]],CONTROL[VEHIDCODE],CONTROL[ENGLISH])</f>
        <v>Qishuyan DF8</v>
      </c>
      <c r="F256" t="s">
        <v>614</v>
      </c>
      <c r="G256" s="45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8">
        <v>150</v>
      </c>
      <c r="R256">
        <v>4930</v>
      </c>
      <c r="S256">
        <v>100</v>
      </c>
      <c r="T256" s="25">
        <v>480</v>
      </c>
      <c r="U256" s="24">
        <f>IFERROR(PROPERTIES[[#This Row],[TE_STARTING_KN]]/(PROPERTIES[[#This Row],[WEIGHT]]*9.81),0)</f>
        <v>0.32619775739041795</v>
      </c>
      <c r="V256" s="24">
        <v>0</v>
      </c>
      <c r="W256" s="21">
        <f>ROUND(IF(IFERROR(PROPERTIES[[#This Row],[TE_COEFFICIENT_CALC]],0)=0,PROPERTIES[[#This Row],[TE_COEFFICIENT_MANUAL]],PROPERTIES[[#This Row],[TE_COEFFICIENT_CALC]]),3)</f>
        <v>0.32600000000000001</v>
      </c>
      <c r="X256" s="9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1">
        <v>0</v>
      </c>
      <c r="Z256" s="7">
        <v>0</v>
      </c>
      <c r="AA256" t="s">
        <v>247</v>
      </c>
      <c r="AB256" t="s">
        <v>238</v>
      </c>
      <c r="AC256" t="s">
        <v>238</v>
      </c>
      <c r="AD256" s="2" t="s">
        <v>238</v>
      </c>
      <c r="AE256" s="2" t="s">
        <v>253</v>
      </c>
      <c r="AF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6" s="2" t="str">
        <f>SUBSTITUTE(SUBSTITUTE(PROPERTIES[[#This Row],[PURCHASECOST_VALUE]], "PURCHASECOST_", ""), "_VALUE", "")</f>
        <v>DIESELENGINE</v>
      </c>
      <c r="AI256" s="7" t="str" cm="1">
        <f t="array" ref="AI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6" s="43" t="b">
        <v>0</v>
      </c>
      <c r="AK256" s="8" t="b">
        <v>0</v>
      </c>
      <c r="BB256"/>
      <c r="BC256"/>
      <c r="BD256"/>
    </row>
    <row r="257" spans="1:56">
      <c r="A257" s="2" t="s">
        <v>3533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5" t="str">
        <f>_xlfn.XLOOKUP(PROPERTIES[[#This Row],[VEHIDCODE]],CONTROL[VEHIDCODE],CONTROL[ENGLISH])</f>
        <v>EMD/Clyde JT26C-2SS</v>
      </c>
      <c r="F257" t="s">
        <v>580</v>
      </c>
      <c r="G257" s="45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8">
        <v>127</v>
      </c>
      <c r="R257">
        <v>3000</v>
      </c>
      <c r="S257">
        <v>114</v>
      </c>
      <c r="T257" s="25">
        <v>337</v>
      </c>
      <c r="U257" s="24">
        <f>IFERROR(PROPERTIES[[#This Row],[TE_STARTING_KN]]/(PROPERTIES[[#This Row],[WEIGHT]]*9.81),0)</f>
        <v>0.27049371122187704</v>
      </c>
      <c r="V257" s="24">
        <v>0</v>
      </c>
      <c r="W257" s="21">
        <f>ROUND(IF(IFERROR(PROPERTIES[[#This Row],[TE_COEFFICIENT_CALC]],0)=0,PROPERTIES[[#This Row],[TE_COEFFICIENT_MANUAL]],PROPERTIES[[#This Row],[TE_COEFFICIENT_CALC]]),3)</f>
        <v>0.27</v>
      </c>
      <c r="X257" s="9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1">
        <v>0</v>
      </c>
      <c r="Z257" s="7">
        <v>0</v>
      </c>
      <c r="AA257" t="s">
        <v>241</v>
      </c>
      <c r="AB257" t="s">
        <v>238</v>
      </c>
      <c r="AC257" t="s">
        <v>238</v>
      </c>
      <c r="AD257" s="2" t="s">
        <v>238</v>
      </c>
      <c r="AE257" s="2" t="s">
        <v>253</v>
      </c>
      <c r="AF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7" s="2" t="str">
        <f>SUBSTITUTE(SUBSTITUTE(PROPERTIES[[#This Row],[PURCHASECOST_VALUE]], "PURCHASECOST_", ""), "_VALUE", "")</f>
        <v>DIESELENGINE</v>
      </c>
      <c r="AI257" s="7" t="str" cm="1">
        <f t="array" ref="AI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7" s="43" t="b">
        <v>0</v>
      </c>
      <c r="AK257" s="8" t="b">
        <v>0</v>
      </c>
      <c r="BB257"/>
      <c r="BC257"/>
      <c r="BD257"/>
    </row>
    <row r="258" spans="1:56">
      <c r="A258" s="2" t="s">
        <v>2973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5" t="str">
        <f>_xlfn.XLOOKUP(PROPERTIES[[#This Row],[VEHIDCODE]],CONTROL[VEHIDCODE],CONTROL[ENGLISH])</f>
        <v>Brush Class 60</v>
      </c>
      <c r="F258" t="s">
        <v>642</v>
      </c>
      <c r="G258" s="45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8">
        <v>130</v>
      </c>
      <c r="R258">
        <v>3100</v>
      </c>
      <c r="S258">
        <v>97</v>
      </c>
      <c r="T258" s="25">
        <v>474</v>
      </c>
      <c r="U258" s="24">
        <f>IFERROR(PROPERTIES[[#This Row],[TE_STARTING_KN]]/(PROPERTIES[[#This Row],[WEIGHT]]*9.81),0)</f>
        <v>0.37167725241119737</v>
      </c>
      <c r="V258" s="24">
        <v>0</v>
      </c>
      <c r="W258" s="21">
        <f>ROUND(IF(IFERROR(PROPERTIES[[#This Row],[TE_COEFFICIENT_CALC]],0)=0,PROPERTIES[[#This Row],[TE_COEFFICIENT_MANUAL]],PROPERTIES[[#This Row],[TE_COEFFICIENT_CALC]]),3)</f>
        <v>0.372</v>
      </c>
      <c r="X258" s="9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1">
        <v>0</v>
      </c>
      <c r="Z258" s="7">
        <v>0</v>
      </c>
      <c r="AA258" t="s">
        <v>243</v>
      </c>
      <c r="AB258" t="s">
        <v>238</v>
      </c>
      <c r="AC258" t="s">
        <v>238</v>
      </c>
      <c r="AD258" s="2" t="s">
        <v>238</v>
      </c>
      <c r="AE258" s="2" t="s">
        <v>253</v>
      </c>
      <c r="AF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8" s="2" t="str">
        <f>SUBSTITUTE(SUBSTITUTE(PROPERTIES[[#This Row],[PURCHASECOST_VALUE]], "PURCHASECOST_", ""), "_VALUE", "")</f>
        <v>DIESELENGINE</v>
      </c>
      <c r="AI258" s="7" t="str" cm="1">
        <f t="array" ref="AI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8" s="43" t="b">
        <v>0</v>
      </c>
      <c r="AK258" s="8" t="b">
        <v>0</v>
      </c>
      <c r="BB258"/>
      <c r="BC258"/>
      <c r="BD258"/>
    </row>
    <row r="259" spans="1:56">
      <c r="A259" s="2" t="s">
        <v>2974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5" t="str">
        <f>_xlfn.XLOOKUP(PROPERTIES[[#This Row],[VEHIDCODE]],CONTROL[VEHIDCODE],CONTROL[ENGLISH])</f>
        <v>GE/Goninan CM25-8</v>
      </c>
      <c r="F259" t="s">
        <v>580</v>
      </c>
      <c r="G259" s="45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8">
        <v>99</v>
      </c>
      <c r="R259">
        <v>2450</v>
      </c>
      <c r="S259">
        <v>90</v>
      </c>
      <c r="T259" s="25">
        <v>375</v>
      </c>
      <c r="U259" s="24">
        <f>IFERROR(PROPERTIES[[#This Row],[TE_STARTING_KN]]/(PROPERTIES[[#This Row],[WEIGHT]]*9.81),0)</f>
        <v>0.38612423933524848</v>
      </c>
      <c r="V259" s="24">
        <v>0</v>
      </c>
      <c r="W259" s="21">
        <f>ROUND(IF(IFERROR(PROPERTIES[[#This Row],[TE_COEFFICIENT_CALC]],0)=0,PROPERTIES[[#This Row],[TE_COEFFICIENT_MANUAL]],PROPERTIES[[#This Row],[TE_COEFFICIENT_CALC]]),3)</f>
        <v>0.38600000000000001</v>
      </c>
      <c r="X259" s="9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1">
        <v>0</v>
      </c>
      <c r="Z259" s="7">
        <v>0</v>
      </c>
      <c r="AA259" t="s">
        <v>241</v>
      </c>
      <c r="AB259" t="s">
        <v>238</v>
      </c>
      <c r="AC259" t="s">
        <v>238</v>
      </c>
      <c r="AD259" s="2" t="s">
        <v>238</v>
      </c>
      <c r="AE259" s="2" t="s">
        <v>253</v>
      </c>
      <c r="AF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9" s="2" t="str">
        <f>SUBSTITUTE(SUBSTITUTE(PROPERTIES[[#This Row],[PURCHASECOST_VALUE]], "PURCHASECOST_", ""), "_VALUE", "")</f>
        <v>DIESELENGINE</v>
      </c>
      <c r="AI259" s="7" t="str" cm="1">
        <f t="array" ref="AI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9" s="43" t="b">
        <v>0</v>
      </c>
      <c r="AK259" s="8" t="b">
        <v>0</v>
      </c>
      <c r="BB259"/>
      <c r="BC259"/>
      <c r="BD259"/>
    </row>
    <row r="260" spans="1:56">
      <c r="A260" s="2" t="s">
        <v>2975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5" t="str">
        <f>_xlfn.XLOOKUP(PROPERTIES[[#This Row],[VEHIDCODE]],CONTROL[VEHIDCODE],CONTROL[ENGLISH])</f>
        <v>EMD SD70ACS</v>
      </c>
      <c r="F260" t="s">
        <v>757</v>
      </c>
      <c r="G260" s="45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8">
        <v>170</v>
      </c>
      <c r="R260">
        <v>4500</v>
      </c>
      <c r="S260">
        <v>110</v>
      </c>
      <c r="T260" s="25">
        <v>850</v>
      </c>
      <c r="U260" s="24">
        <f>IFERROR(PROPERTIES[[#This Row],[TE_STARTING_KN]]/(PROPERTIES[[#This Row],[WEIGHT]]*9.81),0)</f>
        <v>0.509683995922528</v>
      </c>
      <c r="V260" s="24">
        <v>0</v>
      </c>
      <c r="W260" s="21">
        <f>ROUND(IF(IFERROR(PROPERTIES[[#This Row],[TE_COEFFICIENT_CALC]],0)=0,PROPERTIES[[#This Row],[TE_COEFFICIENT_MANUAL]],PROPERTIES[[#This Row],[TE_COEFFICIENT_CALC]]),3)</f>
        <v>0.51</v>
      </c>
      <c r="X260" s="9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1">
        <v>0</v>
      </c>
      <c r="Z260" s="7">
        <v>0</v>
      </c>
      <c r="AA260" t="s">
        <v>247</v>
      </c>
      <c r="AB260" t="s">
        <v>238</v>
      </c>
      <c r="AC260" t="s">
        <v>238</v>
      </c>
      <c r="AD260" s="2" t="s">
        <v>238</v>
      </c>
      <c r="AE260" s="2" t="s">
        <v>253</v>
      </c>
      <c r="AF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0" s="2" t="str">
        <f>SUBSTITUTE(SUBSTITUTE(PROPERTIES[[#This Row],[PURCHASECOST_VALUE]], "PURCHASECOST_", ""), "_VALUE", "")</f>
        <v>DIESELENGINE</v>
      </c>
      <c r="AI260" s="7" t="str" cm="1">
        <f t="array" ref="AI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0" s="43" t="b">
        <v>0</v>
      </c>
      <c r="AK260" s="8" t="b">
        <v>1</v>
      </c>
      <c r="BB260"/>
      <c r="BC260"/>
      <c r="BD260"/>
    </row>
    <row r="261" spans="1:56">
      <c r="A261" s="2" t="s">
        <v>2976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5" t="str">
        <f>_xlfn.XLOOKUP(PROPERTIES[[#This Row],[VEHIDCODE]],CONTROL[VEHIDCODE],CONTROL[ENGLISH])</f>
        <v>GMD JT42HCW</v>
      </c>
      <c r="F261" t="s">
        <v>667</v>
      </c>
      <c r="G261" s="45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8">
        <v>112</v>
      </c>
      <c r="R261">
        <v>3200</v>
      </c>
      <c r="S261">
        <v>164</v>
      </c>
      <c r="T261" s="25">
        <v>190</v>
      </c>
      <c r="U261" s="24">
        <f>IFERROR(PROPERTIES[[#This Row],[TE_STARTING_KN]]/(PROPERTIES[[#This Row],[WEIGHT]]*9.81),0)</f>
        <v>0.172928498616572</v>
      </c>
      <c r="V261" s="24">
        <v>0</v>
      </c>
      <c r="W261" s="21">
        <f>ROUND(IF(IFERROR(PROPERTIES[[#This Row],[TE_COEFFICIENT_CALC]],0)=0,PROPERTIES[[#This Row],[TE_COEFFICIENT_MANUAL]],PROPERTIES[[#This Row],[TE_COEFFICIENT_CALC]]),3)</f>
        <v>0.17299999999999999</v>
      </c>
      <c r="X261" s="9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1">
        <v>0</v>
      </c>
      <c r="Z261" s="7">
        <v>0</v>
      </c>
      <c r="AA261" t="s">
        <v>243</v>
      </c>
      <c r="AB261" t="s">
        <v>238</v>
      </c>
      <c r="AC261" t="s">
        <v>238</v>
      </c>
      <c r="AD261" s="2" t="s">
        <v>238</v>
      </c>
      <c r="AE261" s="2" t="s">
        <v>253</v>
      </c>
      <c r="AF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1" s="2" t="str">
        <f>SUBSTITUTE(SUBSTITUTE(PROPERTIES[[#This Row],[PURCHASECOST_VALUE]], "PURCHASECOST_", ""), "_VALUE", "")</f>
        <v>DIESELENGINE</v>
      </c>
      <c r="AI261" s="7" t="str" cm="1">
        <f t="array" ref="AI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1" s="43" t="b">
        <v>0</v>
      </c>
      <c r="AK261" s="8" t="b">
        <v>0</v>
      </c>
      <c r="BB261"/>
      <c r="BC261"/>
      <c r="BD261"/>
    </row>
    <row r="262" spans="1:56">
      <c r="A262" s="2" t="s">
        <v>2977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5" t="str">
        <f>_xlfn.XLOOKUP(PROPERTIES[[#This Row],[VEHIDCODE]],CONTROL[VEHIDCODE],CONTROL[ENGLISH])</f>
        <v>EMD F59PH</v>
      </c>
      <c r="F262" t="s">
        <v>796</v>
      </c>
      <c r="G262" s="45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8">
        <v>130</v>
      </c>
      <c r="R262">
        <v>3000</v>
      </c>
      <c r="S262">
        <v>177</v>
      </c>
      <c r="T262" s="25">
        <v>0</v>
      </c>
      <c r="U262" s="24">
        <f>IFERROR(PROPERTIES[[#This Row],[TE_STARTING_KN]]/(PROPERTIES[[#This Row],[WEIGHT]]*9.81),0)</f>
        <v>0</v>
      </c>
      <c r="V262" s="24">
        <v>0.22</v>
      </c>
      <c r="W262" s="21">
        <f>ROUND(IF(IFERROR(PROPERTIES[[#This Row],[TE_COEFFICIENT_CALC]],0)=0,PROPERTIES[[#This Row],[TE_COEFFICIENT_MANUAL]],PROPERTIES[[#This Row],[TE_COEFFICIENT_CALC]]),3)</f>
        <v>0.22</v>
      </c>
      <c r="X262" s="9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1">
        <v>0</v>
      </c>
      <c r="Z262" s="7">
        <v>0</v>
      </c>
      <c r="AA262" t="s">
        <v>244</v>
      </c>
      <c r="AB262" t="s">
        <v>238</v>
      </c>
      <c r="AC262" t="s">
        <v>238</v>
      </c>
      <c r="AD262" s="2" t="s">
        <v>238</v>
      </c>
      <c r="AE262" s="2" t="s">
        <v>253</v>
      </c>
      <c r="AF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2" s="2" t="str">
        <f>SUBSTITUTE(SUBSTITUTE(PROPERTIES[[#This Row],[PURCHASECOST_VALUE]], "PURCHASECOST_", ""), "_VALUE", "")</f>
        <v>DIESELENGINE</v>
      </c>
      <c r="AI262" s="7" t="str" cm="1">
        <f t="array" ref="AI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2" s="43" t="b">
        <v>0</v>
      </c>
      <c r="AK262" s="8" t="b">
        <v>0</v>
      </c>
      <c r="BB262"/>
      <c r="BC262"/>
      <c r="BD262"/>
    </row>
    <row r="263" spans="1:56">
      <c r="A263" s="2" t="s">
        <v>2978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5" t="str">
        <f>_xlfn.XLOOKUP(PROPERTIES[[#This Row],[VEHIDCODE]],CONTROL[VEHIDCODE],CONTROL[ENGLISH])</f>
        <v>MaK/Vossloh G1206</v>
      </c>
      <c r="F263" t="s">
        <v>641</v>
      </c>
      <c r="G263" s="45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8">
        <v>86</v>
      </c>
      <c r="R263">
        <v>2010</v>
      </c>
      <c r="S263">
        <v>100</v>
      </c>
      <c r="T263" s="25">
        <v>0</v>
      </c>
      <c r="U263" s="24">
        <f>IFERROR(PROPERTIES[[#This Row],[TE_STARTING_KN]]/(PROPERTIES[[#This Row],[WEIGHT]]*9.81),0)</f>
        <v>0</v>
      </c>
      <c r="V263" s="24">
        <v>0.33</v>
      </c>
      <c r="W263" s="21">
        <f>ROUND(IF(IFERROR(PROPERTIES[[#This Row],[TE_COEFFICIENT_CALC]],0)=0,PROPERTIES[[#This Row],[TE_COEFFICIENT_MANUAL]],PROPERTIES[[#This Row],[TE_COEFFICIENT_CALC]]),3)</f>
        <v>0.33</v>
      </c>
      <c r="X263" s="9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1">
        <v>0</v>
      </c>
      <c r="Z263" s="7">
        <v>0</v>
      </c>
      <c r="AA263" t="s">
        <v>239</v>
      </c>
      <c r="AB263" t="s">
        <v>238</v>
      </c>
      <c r="AC263" t="s">
        <v>238</v>
      </c>
      <c r="AD263" s="2" t="s">
        <v>238</v>
      </c>
      <c r="AE263" s="2" t="s">
        <v>253</v>
      </c>
      <c r="AF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3" s="2" t="str">
        <f>SUBSTITUTE(SUBSTITUTE(PROPERTIES[[#This Row],[PURCHASECOST_VALUE]], "PURCHASECOST_", ""), "_VALUE", "")</f>
        <v>DIESELENGINE</v>
      </c>
      <c r="AI263" s="7" t="str" cm="1">
        <f t="array" ref="AI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63" s="43" t="b">
        <v>0</v>
      </c>
      <c r="AK263" s="8" t="b">
        <v>0</v>
      </c>
      <c r="BB263"/>
      <c r="BC263"/>
      <c r="BD263"/>
    </row>
    <row r="264" spans="1:56">
      <c r="A264" s="2" t="s">
        <v>2979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5" t="str">
        <f>_xlfn.XLOOKUP(PROPERTIES[[#This Row],[VEHIDCODE]],CONTROL[VEHIDCODE],CONTROL[ENGLISH])</f>
        <v>Vossloh G 2000 BB</v>
      </c>
      <c r="F264" t="s">
        <v>675</v>
      </c>
      <c r="G264" s="45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8">
        <v>89</v>
      </c>
      <c r="R264">
        <v>3000</v>
      </c>
      <c r="S264">
        <v>120</v>
      </c>
      <c r="T264" s="25">
        <v>275</v>
      </c>
      <c r="U264" s="24">
        <f>IFERROR(PROPERTIES[[#This Row],[TE_STARTING_KN]]/(PROPERTIES[[#This Row],[WEIGHT]]*9.81),0)</f>
        <v>0.31497325590718023</v>
      </c>
      <c r="V264" s="24">
        <v>0</v>
      </c>
      <c r="W264" s="21">
        <f>ROUND(IF(IFERROR(PROPERTIES[[#This Row],[TE_COEFFICIENT_CALC]],0)=0,PROPERTIES[[#This Row],[TE_COEFFICIENT_MANUAL]],PROPERTIES[[#This Row],[TE_COEFFICIENT_CALC]]),3)</f>
        <v>0.315</v>
      </c>
      <c r="X264" s="9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1">
        <v>0</v>
      </c>
      <c r="Z264" s="7">
        <v>0</v>
      </c>
      <c r="AA264" t="s">
        <v>240</v>
      </c>
      <c r="AB264" t="s">
        <v>238</v>
      </c>
      <c r="AC264" t="s">
        <v>238</v>
      </c>
      <c r="AD264" s="2" t="s">
        <v>238</v>
      </c>
      <c r="AE264" s="2" t="s">
        <v>253</v>
      </c>
      <c r="AF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4" s="2" t="str">
        <f>SUBSTITUTE(SUBSTITUTE(PROPERTIES[[#This Row],[PURCHASECOST_VALUE]], "PURCHASECOST_", ""), "_VALUE", "")</f>
        <v>DIESELENGINE</v>
      </c>
      <c r="AI264" s="7" t="str" cm="1">
        <f t="array" ref="AI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4" s="43" t="b">
        <v>0</v>
      </c>
      <c r="AK264" s="8" t="b">
        <v>0</v>
      </c>
      <c r="BB264"/>
      <c r="BC264"/>
      <c r="BD264"/>
    </row>
    <row r="265" spans="1:56">
      <c r="A265" s="2" t="s">
        <v>2980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5" t="str">
        <f>_xlfn.XLOOKUP(PROPERTIES[[#This Row],[VEHIDCODE]],CONTROL[VEHIDCODE],CONTROL[ENGLISH])</f>
        <v>MPI MP40PH-3C</v>
      </c>
      <c r="F265" t="s">
        <v>604</v>
      </c>
      <c r="G265" s="45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8">
        <v>134</v>
      </c>
      <c r="R265">
        <v>4000</v>
      </c>
      <c r="S265">
        <v>150</v>
      </c>
      <c r="T265" s="25">
        <v>380</v>
      </c>
      <c r="U265" s="24">
        <f>IFERROR(PROPERTIES[[#This Row],[TE_STARTING_KN]]/(PROPERTIES[[#This Row],[WEIGHT]]*9.81),0)</f>
        <v>0.28907450515009053</v>
      </c>
      <c r="V265" s="24">
        <v>0</v>
      </c>
      <c r="W265" s="21">
        <f>ROUND(IF(IFERROR(PROPERTIES[[#This Row],[TE_COEFFICIENT_CALC]],0)=0,PROPERTIES[[#This Row],[TE_COEFFICIENT_MANUAL]],PROPERTIES[[#This Row],[TE_COEFFICIENT_CALC]]),3)</f>
        <v>0.28899999999999998</v>
      </c>
      <c r="X265" s="9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1">
        <v>0</v>
      </c>
      <c r="Z265" s="7">
        <v>0</v>
      </c>
      <c r="AA265" t="s">
        <v>244</v>
      </c>
      <c r="AB265" t="s">
        <v>238</v>
      </c>
      <c r="AC265" t="s">
        <v>238</v>
      </c>
      <c r="AD265" s="2" t="s">
        <v>238</v>
      </c>
      <c r="AE265" s="2" t="s">
        <v>253</v>
      </c>
      <c r="AF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5" s="2" t="str">
        <f>SUBSTITUTE(SUBSTITUTE(PROPERTIES[[#This Row],[PURCHASECOST_VALUE]], "PURCHASECOST_", ""), "_VALUE", "")</f>
        <v>DIESELENGINE</v>
      </c>
      <c r="AI265" s="7" t="str" cm="1">
        <f t="array" ref="AI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5" s="43" t="b">
        <v>0</v>
      </c>
      <c r="AK265" s="8" t="b">
        <v>0</v>
      </c>
      <c r="BB265"/>
      <c r="BC265"/>
      <c r="BD265"/>
    </row>
    <row r="266" spans="1:56">
      <c r="A266" s="2" t="s">
        <v>3552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5" t="str">
        <f>_xlfn.XLOOKUP(PROPERTIES[[#This Row],[VEHIDCODE]],CONTROL[VEHIDCODE],CONTROL[ENGLISH])</f>
        <v>Vossloh Espana/EMD 334</v>
      </c>
      <c r="F266" t="s">
        <v>634</v>
      </c>
      <c r="G266" s="45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8">
        <v>80</v>
      </c>
      <c r="R266">
        <v>3300</v>
      </c>
      <c r="S266">
        <v>200</v>
      </c>
      <c r="T266" s="25">
        <v>178</v>
      </c>
      <c r="U266" s="24">
        <f>IFERROR(PROPERTIES[[#This Row],[TE_STARTING_KN]]/(PROPERTIES[[#This Row],[WEIGHT]]*9.81),0)</f>
        <v>0.22680937818552496</v>
      </c>
      <c r="V266" s="24">
        <v>0</v>
      </c>
      <c r="W266" s="21">
        <f>ROUND(IF(IFERROR(PROPERTIES[[#This Row],[TE_COEFFICIENT_CALC]],0)=0,PROPERTIES[[#This Row],[TE_COEFFICIENT_MANUAL]],PROPERTIES[[#This Row],[TE_COEFFICIENT_CALC]]),3)</f>
        <v>0.22700000000000001</v>
      </c>
      <c r="X266" s="9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1">
        <v>0</v>
      </c>
      <c r="Z266" s="7">
        <v>0</v>
      </c>
      <c r="AA266" t="s">
        <v>240</v>
      </c>
      <c r="AB266" t="s">
        <v>238</v>
      </c>
      <c r="AC266" t="s">
        <v>238</v>
      </c>
      <c r="AD266" s="2" t="s">
        <v>238</v>
      </c>
      <c r="AE266" s="2" t="s">
        <v>253</v>
      </c>
      <c r="AF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6" s="2" t="str">
        <f>SUBSTITUTE(SUBSTITUTE(PROPERTIES[[#This Row],[PURCHASECOST_VALUE]], "PURCHASECOST_", ""), "_VALUE", "")</f>
        <v>DIESELENGINE</v>
      </c>
      <c r="AI266" s="7" t="str" cm="1">
        <f t="array" ref="AI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6" s="43" t="b">
        <v>0</v>
      </c>
      <c r="AK266" s="8" t="b">
        <v>0</v>
      </c>
      <c r="BB266"/>
      <c r="BC266"/>
      <c r="BD266"/>
    </row>
    <row r="267" spans="1:56">
      <c r="A267" s="2" t="s">
        <v>2981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5" t="str">
        <f>_xlfn.XLOOKUP(PROPERTIES[[#This Row],[VEHIDCODE]],CONTROL[VEHIDCODE],CONTROL[ENGLISH])</f>
        <v>INKA CC300</v>
      </c>
      <c r="F267" t="s">
        <v>666</v>
      </c>
      <c r="G267" s="45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8">
        <v>76</v>
      </c>
      <c r="R267">
        <v>2500</v>
      </c>
      <c r="S267">
        <v>120</v>
      </c>
      <c r="T267" s="25">
        <v>270</v>
      </c>
      <c r="U267" s="24">
        <f>IFERROR(PROPERTIES[[#This Row],[TE_STARTING_KN]]/(PROPERTIES[[#This Row],[WEIGHT]]*9.81),0)</f>
        <v>0.36214389183969092</v>
      </c>
      <c r="V267" s="24">
        <v>0</v>
      </c>
      <c r="W267" s="21">
        <f>ROUND(IF(IFERROR(PROPERTIES[[#This Row],[TE_COEFFICIENT_CALC]],0)=0,PROPERTIES[[#This Row],[TE_COEFFICIENT_MANUAL]],PROPERTIES[[#This Row],[TE_COEFFICIENT_CALC]]),3)</f>
        <v>0.36199999999999999</v>
      </c>
      <c r="X267" s="9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1">
        <v>0</v>
      </c>
      <c r="Z267" s="7">
        <v>0</v>
      </c>
      <c r="AA267" t="s">
        <v>241</v>
      </c>
      <c r="AB267" t="s">
        <v>238</v>
      </c>
      <c r="AC267" t="s">
        <v>238</v>
      </c>
      <c r="AD267" s="2" t="s">
        <v>238</v>
      </c>
      <c r="AE267" s="2" t="s">
        <v>253</v>
      </c>
      <c r="AF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7" s="2" t="str">
        <f>SUBSTITUTE(SUBSTITUTE(PROPERTIES[[#This Row],[PURCHASECOST_VALUE]], "PURCHASECOST_", ""), "_VALUE", "")</f>
        <v>DIESELENGINE</v>
      </c>
      <c r="AI267" s="7" t="str" cm="1">
        <f t="array" ref="AI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7" s="43" t="b">
        <v>0</v>
      </c>
      <c r="AK267" s="8" t="b">
        <v>0</v>
      </c>
      <c r="BB267"/>
      <c r="BC267"/>
      <c r="BD267"/>
    </row>
    <row r="268" spans="1:56">
      <c r="A268" s="2" t="s">
        <v>2982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5" t="str">
        <f>_xlfn.XLOOKUP(PROPERTIES[[#This Row],[VEHIDCODE]],CONTROL[VEHIDCODE],CONTROL[ENGLISH])</f>
        <v>Great Southern Railway DH501</v>
      </c>
      <c r="F268" t="s">
        <v>577</v>
      </c>
      <c r="G268" s="45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8">
        <v>148</v>
      </c>
      <c r="R268">
        <v>1200</v>
      </c>
      <c r="S268">
        <v>85</v>
      </c>
      <c r="T268" s="25">
        <v>200</v>
      </c>
      <c r="U268" s="24">
        <f>IFERROR(PROPERTIES[[#This Row],[TE_STARTING_KN]]/(PROPERTIES[[#This Row],[WEIGHT]]*9.81),0)</f>
        <v>0.13775243133041298</v>
      </c>
      <c r="V268" s="24">
        <v>0</v>
      </c>
      <c r="W268" s="21">
        <f>ROUND(IF(IFERROR(PROPERTIES[[#This Row],[TE_COEFFICIENT_CALC]],0)=0,PROPERTIES[[#This Row],[TE_COEFFICIENT_MANUAL]],PROPERTIES[[#This Row],[TE_COEFFICIENT_CALC]]),3)</f>
        <v>0.13800000000000001</v>
      </c>
      <c r="X268" s="9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1">
        <v>0</v>
      </c>
      <c r="Z268" s="7">
        <v>0</v>
      </c>
      <c r="AA268" t="s">
        <v>246</v>
      </c>
      <c r="AB268" t="s">
        <v>238</v>
      </c>
      <c r="AC268" t="s">
        <v>238</v>
      </c>
      <c r="AD268" s="2" t="s">
        <v>238</v>
      </c>
      <c r="AE268" s="2" t="s">
        <v>253</v>
      </c>
      <c r="AF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8" s="2" t="str">
        <f>SUBSTITUTE(SUBSTITUTE(PROPERTIES[[#This Row],[PURCHASECOST_VALUE]], "PURCHASECOST_", ""), "_VALUE", "")</f>
        <v>DIESELENGINE</v>
      </c>
      <c r="AI268" s="7" t="str" cm="1">
        <f t="array" ref="AI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8" s="43" t="b">
        <v>0</v>
      </c>
      <c r="AK268" s="8" t="b">
        <v>0</v>
      </c>
      <c r="BB268"/>
      <c r="BC268"/>
      <c r="BD268"/>
    </row>
    <row r="269" spans="1:56">
      <c r="A269" s="2" t="s">
        <v>2983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5" t="str">
        <f>_xlfn.XLOOKUP(PROPERTIES[[#This Row],[VEHIDCODE]],CONTROL[VEHIDCODE],CONTROL[ENGLISH])</f>
        <v>EE VFFLB</v>
      </c>
      <c r="F269" t="s">
        <v>597</v>
      </c>
      <c r="G269" s="45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8">
        <v>52</v>
      </c>
      <c r="R269">
        <v>450</v>
      </c>
      <c r="S269">
        <v>76</v>
      </c>
      <c r="T269" s="25">
        <v>0</v>
      </c>
      <c r="U269" s="24">
        <f>IFERROR(PROPERTIES[[#This Row],[TE_STARTING_KN]]/(PROPERTIES[[#This Row],[WEIGHT]]*9.81),0)</f>
        <v>0</v>
      </c>
      <c r="V269" s="24">
        <v>0.22</v>
      </c>
      <c r="W269" s="21">
        <f>ROUND(IF(IFERROR(PROPERTIES[[#This Row],[TE_COEFFICIENT_CALC]],0)=0,PROPERTIES[[#This Row],[TE_COEFFICIENT_MANUAL]],PROPERTIES[[#This Row],[TE_COEFFICIENT_CALC]]),3)</f>
        <v>0.22</v>
      </c>
      <c r="X269" s="9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1">
        <v>0</v>
      </c>
      <c r="Z269" s="7">
        <v>0</v>
      </c>
      <c r="AA269" t="s">
        <v>246</v>
      </c>
      <c r="AB269" t="s">
        <v>238</v>
      </c>
      <c r="AC269" t="s">
        <v>238</v>
      </c>
      <c r="AD269" s="2" t="s">
        <v>238</v>
      </c>
      <c r="AE269" s="2" t="s">
        <v>253</v>
      </c>
      <c r="AF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9" s="2" t="str">
        <f>SUBSTITUTE(SUBSTITUTE(PROPERTIES[[#This Row],[PURCHASECOST_VALUE]], "PURCHASECOST_", ""), "_VALUE", "")</f>
        <v>DIESELENGINE</v>
      </c>
      <c r="AI269" s="7" t="str" cm="1">
        <f t="array" ref="AI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69" s="43" t="b">
        <v>0</v>
      </c>
      <c r="AK269" s="8" t="b">
        <v>0</v>
      </c>
      <c r="BB269"/>
      <c r="BC269"/>
      <c r="BD269"/>
    </row>
    <row r="270" spans="1:56">
      <c r="A270" s="2" t="s">
        <v>2984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5" t="str">
        <f>_xlfn.XLOOKUP(PROPERTIES[[#This Row],[VEHIDCODE]],CONTROL[VEHIDCODE],CONTROL[ENGLISH])</f>
        <v>GE U5B</v>
      </c>
      <c r="F270" t="s">
        <v>612</v>
      </c>
      <c r="G270" s="45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8">
        <v>54</v>
      </c>
      <c r="R270">
        <v>600</v>
      </c>
      <c r="S270">
        <v>64</v>
      </c>
      <c r="T270" s="25">
        <v>138</v>
      </c>
      <c r="U270" s="24">
        <f>IFERROR(PROPERTIES[[#This Row],[TE_STARTING_KN]]/(PROPERTIES[[#This Row],[WEIGHT]]*9.81),0)</f>
        <v>0.26050515347151432</v>
      </c>
      <c r="V270" s="24">
        <v>0</v>
      </c>
      <c r="W270" s="21">
        <f>ROUND(IF(IFERROR(PROPERTIES[[#This Row],[TE_COEFFICIENT_CALC]],0)=0,PROPERTIES[[#This Row],[TE_COEFFICIENT_MANUAL]],PROPERTIES[[#This Row],[TE_COEFFICIENT_CALC]]),3)</f>
        <v>0.26100000000000001</v>
      </c>
      <c r="X270" s="9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1">
        <v>0</v>
      </c>
      <c r="Z270" s="7">
        <v>0</v>
      </c>
      <c r="AA270" t="s">
        <v>246</v>
      </c>
      <c r="AB270" t="s">
        <v>242</v>
      </c>
      <c r="AC270" t="s">
        <v>238</v>
      </c>
      <c r="AD270" s="2" t="s">
        <v>238</v>
      </c>
      <c r="AE270" s="2" t="s">
        <v>253</v>
      </c>
      <c r="AF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0" s="2" t="str">
        <f>SUBSTITUTE(SUBSTITUTE(PROPERTIES[[#This Row],[PURCHASECOST_VALUE]], "PURCHASECOST_", ""), "_VALUE", "")</f>
        <v>DIESELENGINE</v>
      </c>
      <c r="AI270" s="7" t="str" cm="1">
        <f t="array" ref="AI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0" s="43" t="b">
        <v>0</v>
      </c>
      <c r="AK270" s="8" t="b">
        <v>0</v>
      </c>
      <c r="BB270"/>
      <c r="BC270"/>
      <c r="BD270"/>
    </row>
    <row r="271" spans="1:56">
      <c r="A271" s="2" t="s">
        <v>2985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5" t="str">
        <f>_xlfn.XLOOKUP(PROPERTIES[[#This Row],[VEHIDCODE]],CONTROL[VEHIDCODE],CONTROL[ENGLISH])</f>
        <v>ALCO RSD-39</v>
      </c>
      <c r="F271" t="s">
        <v>739</v>
      </c>
      <c r="G271" s="45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8">
        <v>83</v>
      </c>
      <c r="R271">
        <v>1350</v>
      </c>
      <c r="S271">
        <v>120</v>
      </c>
      <c r="T271" s="25">
        <v>0</v>
      </c>
      <c r="U271" s="24">
        <f>IFERROR(PROPERTIES[[#This Row],[TE_STARTING_KN]]/(PROPERTIES[[#This Row],[WEIGHT]]*9.81),0)</f>
        <v>0</v>
      </c>
      <c r="V271" s="24">
        <v>0.17</v>
      </c>
      <c r="W271" s="21">
        <f>ROUND(IF(IFERROR(PROPERTIES[[#This Row],[TE_COEFFICIENT_CALC]],0)=0,PROPERTIES[[#This Row],[TE_COEFFICIENT_MANUAL]],PROPERTIES[[#This Row],[TE_COEFFICIENT_CALC]]),3)</f>
        <v>0.17</v>
      </c>
      <c r="X271" s="9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1">
        <v>0</v>
      </c>
      <c r="Z271" s="7">
        <v>0</v>
      </c>
      <c r="AA271" t="s">
        <v>246</v>
      </c>
      <c r="AB271" t="s">
        <v>240</v>
      </c>
      <c r="AC271" t="s">
        <v>238</v>
      </c>
      <c r="AD271" s="2" t="s">
        <v>238</v>
      </c>
      <c r="AE271" s="2" t="s">
        <v>253</v>
      </c>
      <c r="AF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1" s="2" t="str">
        <f>SUBSTITUTE(SUBSTITUTE(PROPERTIES[[#This Row],[PURCHASECOST_VALUE]], "PURCHASECOST_", ""), "_VALUE", "")</f>
        <v>DIESELENGINE</v>
      </c>
      <c r="AI271" s="7" t="str" cm="1">
        <f t="array" ref="AI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1" s="43" t="b">
        <v>0</v>
      </c>
      <c r="AK271" s="8" t="b">
        <v>0</v>
      </c>
      <c r="BB271"/>
      <c r="BC271"/>
      <c r="BD271"/>
    </row>
    <row r="272" spans="1:56">
      <c r="A272" s="2" t="s">
        <v>2986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5" t="str">
        <f>_xlfn.XLOOKUP(PROPERTIES[[#This Row],[VEHIDCODE]],CONTROL[VEHIDCODE],CONTROL[ENGLISH])</f>
        <v>EMD DDM45</v>
      </c>
      <c r="F272" t="s">
        <v>597</v>
      </c>
      <c r="G272" s="45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8">
        <v>162</v>
      </c>
      <c r="R272">
        <v>3600</v>
      </c>
      <c r="S272">
        <v>85</v>
      </c>
      <c r="T272" s="25">
        <v>388.9</v>
      </c>
      <c r="U272" s="24">
        <f>IFERROR(PROPERTIES[[#This Row],[TE_STARTING_KN]]/(PROPERTIES[[#This Row],[WEIGHT]]*9.81),0)</f>
        <v>0.24471124199292732</v>
      </c>
      <c r="V272" s="24">
        <v>0</v>
      </c>
      <c r="W272" s="21">
        <f>ROUND(IF(IFERROR(PROPERTIES[[#This Row],[TE_COEFFICIENT_CALC]],0)=0,PROPERTIES[[#This Row],[TE_COEFFICIENT_MANUAL]],PROPERTIES[[#This Row],[TE_COEFFICIENT_CALC]]),3)</f>
        <v>0.245</v>
      </c>
      <c r="X272" s="9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1">
        <v>0</v>
      </c>
      <c r="Z272" s="7">
        <v>0</v>
      </c>
      <c r="AA272" t="s">
        <v>246</v>
      </c>
      <c r="AB272" t="s">
        <v>238</v>
      </c>
      <c r="AC272" t="s">
        <v>238</v>
      </c>
      <c r="AD272" s="2" t="s">
        <v>238</v>
      </c>
      <c r="AE272" s="2" t="s">
        <v>253</v>
      </c>
      <c r="AF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2" s="2" t="str">
        <f>SUBSTITUTE(SUBSTITUTE(PROPERTIES[[#This Row],[PURCHASECOST_VALUE]], "PURCHASECOST_", ""), "_VALUE", "")</f>
        <v>DIESELENGINE</v>
      </c>
      <c r="AI272" s="7" t="str" cm="1">
        <f t="array" ref="AI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2" s="43" t="b">
        <v>0</v>
      </c>
      <c r="AK272" s="8" t="b">
        <v>0</v>
      </c>
      <c r="BB272"/>
      <c r="BC272"/>
      <c r="BD272"/>
    </row>
    <row r="273" spans="1:56">
      <c r="A273" s="2" t="s">
        <v>2987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5" t="str">
        <f>_xlfn.XLOOKUP(PROPERTIES[[#This Row],[VEHIDCODE]],CONTROL[VEHIDCODE],CONTROL[ENGLISH])</f>
        <v>GE C39-8</v>
      </c>
      <c r="F273" t="s">
        <v>739</v>
      </c>
      <c r="G273" s="45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8">
        <v>166</v>
      </c>
      <c r="R273">
        <v>3900</v>
      </c>
      <c r="S273">
        <v>110</v>
      </c>
      <c r="T273" s="25">
        <v>0</v>
      </c>
      <c r="U273" s="24">
        <f>IFERROR(PROPERTIES[[#This Row],[TE_STARTING_KN]]/(PROPERTIES[[#This Row],[WEIGHT]]*9.81),0)</f>
        <v>0</v>
      </c>
      <c r="V273" s="24">
        <v>0.28999999999999998</v>
      </c>
      <c r="W273" s="21">
        <f>ROUND(IF(IFERROR(PROPERTIES[[#This Row],[TE_COEFFICIENT_CALC]],0)=0,PROPERTIES[[#This Row],[TE_COEFFICIENT_MANUAL]],PROPERTIES[[#This Row],[TE_COEFFICIENT_CALC]]),3)</f>
        <v>0.28999999999999998</v>
      </c>
      <c r="X273" s="9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1">
        <v>0</v>
      </c>
      <c r="Z273" s="7">
        <v>0</v>
      </c>
      <c r="AA273" t="s">
        <v>249</v>
      </c>
      <c r="AB273" t="s">
        <v>238</v>
      </c>
      <c r="AC273" t="s">
        <v>238</v>
      </c>
      <c r="AD273" s="2" t="s">
        <v>238</v>
      </c>
      <c r="AE273" s="2" t="s">
        <v>253</v>
      </c>
      <c r="AF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3" s="2" t="str">
        <f>SUBSTITUTE(SUBSTITUTE(PROPERTIES[[#This Row],[PURCHASECOST_VALUE]], "PURCHASECOST_", ""), "_VALUE", "")</f>
        <v>DIESELENGINE</v>
      </c>
      <c r="AI273" s="7" t="str" cm="1">
        <f t="array" ref="AI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3" s="43" t="b">
        <v>0</v>
      </c>
      <c r="AK273" s="8" t="b">
        <v>0</v>
      </c>
      <c r="BB273"/>
      <c r="BC273"/>
      <c r="BD273"/>
    </row>
    <row r="274" spans="1:56">
      <c r="A274" s="2" t="s">
        <v>2988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5" t="str">
        <f>_xlfn.XLOOKUP(PROPERTIES[[#This Row],[VEHIDCODE]],CONTROL[VEHIDCODE],CONTROL[ENGLISH])</f>
        <v>Macosa-Meinfesa 319.3 J26 CW/HEP</v>
      </c>
      <c r="F274" t="s">
        <v>577</v>
      </c>
      <c r="G274" s="45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8">
        <v>117</v>
      </c>
      <c r="R274">
        <v>2027</v>
      </c>
      <c r="S274">
        <v>140</v>
      </c>
      <c r="T274" s="25">
        <v>302</v>
      </c>
      <c r="U274" s="24">
        <f>IFERROR(PROPERTIES[[#This Row],[TE_STARTING_KN]]/(PROPERTIES[[#This Row],[WEIGHT]]*9.81),0)</f>
        <v>0.2631189175531683</v>
      </c>
      <c r="V274" s="24">
        <v>0</v>
      </c>
      <c r="W274" s="21">
        <f>ROUND(IF(IFERROR(PROPERTIES[[#This Row],[TE_COEFFICIENT_CALC]],0)=0,PROPERTIES[[#This Row],[TE_COEFFICIENT_MANUAL]],PROPERTIES[[#This Row],[TE_COEFFICIENT_CALC]]),3)</f>
        <v>0.26300000000000001</v>
      </c>
      <c r="X274" s="9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1">
        <v>0</v>
      </c>
      <c r="Z274" s="7">
        <v>0</v>
      </c>
      <c r="AA274" t="s">
        <v>246</v>
      </c>
      <c r="AB274" t="s">
        <v>247</v>
      </c>
      <c r="AC274" t="s">
        <v>238</v>
      </c>
      <c r="AD274" s="2" t="s">
        <v>238</v>
      </c>
      <c r="AE274" s="2" t="s">
        <v>253</v>
      </c>
      <c r="AF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4" s="2" t="str">
        <f>SUBSTITUTE(SUBSTITUTE(PROPERTIES[[#This Row],[PURCHASECOST_VALUE]], "PURCHASECOST_", ""), "_VALUE", "")</f>
        <v>DIESELENGINE</v>
      </c>
      <c r="AI274" s="7" t="str" cm="1">
        <f t="array" ref="AI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4" s="43" t="b">
        <v>0</v>
      </c>
      <c r="AK274" s="8" t="b">
        <v>0</v>
      </c>
      <c r="BB274"/>
      <c r="BC274"/>
      <c r="BD274"/>
    </row>
    <row r="275" spans="1:56">
      <c r="A275" s="2" t="s">
        <v>2989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5" t="str">
        <f>_xlfn.XLOOKUP(PROPERTIES[[#This Row],[VEHIDCODE]],CONTROL[VEHIDCODE],CONTROL[ENGLISH])</f>
        <v>CNR CKD8G</v>
      </c>
      <c r="F275" t="s">
        <v>577</v>
      </c>
      <c r="G275" s="45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8">
        <v>120</v>
      </c>
      <c r="R275">
        <v>2950</v>
      </c>
      <c r="S275">
        <v>120</v>
      </c>
      <c r="T275" s="25">
        <v>384</v>
      </c>
      <c r="U275" s="24">
        <f>IFERROR(PROPERTIES[[#This Row],[TE_STARTING_KN]]/(PROPERTIES[[#This Row],[WEIGHT]]*9.81),0)</f>
        <v>0.32619775739041795</v>
      </c>
      <c r="V275" s="24">
        <v>0</v>
      </c>
      <c r="W275" s="21">
        <f>ROUND(IF(IFERROR(PROPERTIES[[#This Row],[TE_COEFFICIENT_CALC]],0)=0,PROPERTIES[[#This Row],[TE_COEFFICIENT_MANUAL]],PROPERTIES[[#This Row],[TE_COEFFICIENT_CALC]]),3)</f>
        <v>0.32600000000000001</v>
      </c>
      <c r="X275" s="9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1">
        <v>0</v>
      </c>
      <c r="Z275" s="7">
        <v>0</v>
      </c>
      <c r="AA275" t="s">
        <v>246</v>
      </c>
      <c r="AB275" t="s">
        <v>238</v>
      </c>
      <c r="AC275" t="s">
        <v>238</v>
      </c>
      <c r="AD275" s="2" t="s">
        <v>238</v>
      </c>
      <c r="AE275" s="2" t="s">
        <v>253</v>
      </c>
      <c r="AF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5" s="2" t="str">
        <f>SUBSTITUTE(SUBSTITUTE(PROPERTIES[[#This Row],[PURCHASECOST_VALUE]], "PURCHASECOST_", ""), "_VALUE", "")</f>
        <v>DIESELENGINE</v>
      </c>
      <c r="AI275" s="7" t="str" cm="1">
        <f t="array" ref="AI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5" s="43" t="b">
        <v>0</v>
      </c>
      <c r="AK275" s="8" t="b">
        <v>0</v>
      </c>
      <c r="BB275"/>
      <c r="BC275"/>
      <c r="BD275"/>
    </row>
    <row r="276" spans="1:56">
      <c r="A276" s="2" t="s">
        <v>2990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5" t="str">
        <f>_xlfn.XLOOKUP(PROPERTIES[[#This Row],[VEHIDCODE]],CONTROL[VEHIDCODE],CONTROL[ENGLISH])</f>
        <v>AEG SAR DS</v>
      </c>
      <c r="F276" t="s">
        <v>810</v>
      </c>
      <c r="G276" s="45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8">
        <v>68</v>
      </c>
      <c r="R276">
        <v>410</v>
      </c>
      <c r="S276">
        <v>60</v>
      </c>
      <c r="T276" s="25">
        <v>157</v>
      </c>
      <c r="U276" s="24">
        <f>IFERROR(PROPERTIES[[#This Row],[TE_STARTING_KN]]/(PROPERTIES[[#This Row],[WEIGHT]]*9.81),0)</f>
        <v>0.23535408047010853</v>
      </c>
      <c r="V276" s="24">
        <v>0</v>
      </c>
      <c r="W276" s="21">
        <f>ROUND(IF(IFERROR(PROPERTIES[[#This Row],[TE_COEFFICIENT_CALC]],0)=0,PROPERTIES[[#This Row],[TE_COEFFICIENT_MANUAL]],PROPERTIES[[#This Row],[TE_COEFFICIENT_CALC]]),3)</f>
        <v>0.23499999999999999</v>
      </c>
      <c r="X276" s="9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1">
        <v>0</v>
      </c>
      <c r="Z276" s="7">
        <v>0</v>
      </c>
      <c r="AA276" t="s">
        <v>242</v>
      </c>
      <c r="AB276" t="s">
        <v>238</v>
      </c>
      <c r="AC276" t="s">
        <v>238</v>
      </c>
      <c r="AD276" s="2" t="s">
        <v>238</v>
      </c>
      <c r="AE276" s="2" t="s">
        <v>253</v>
      </c>
      <c r="AF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6" s="2" t="str">
        <f>SUBSTITUTE(SUBSTITUTE(PROPERTIES[[#This Row],[PURCHASECOST_VALUE]], "PURCHASECOST_", ""), "_VALUE", "")</f>
        <v>DIESELENGINE</v>
      </c>
      <c r="AI276" s="7" t="str" cm="1">
        <f t="array" ref="AI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76" s="43" t="b">
        <v>0</v>
      </c>
      <c r="AK276" s="8" t="b">
        <v>0</v>
      </c>
      <c r="BB276"/>
      <c r="BC276"/>
      <c r="BD276"/>
    </row>
    <row r="277" spans="1:56">
      <c r="A277" s="2" t="s">
        <v>2991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5" t="str">
        <f>_xlfn.XLOOKUP(PROPERTIES[[#This Row],[VEHIDCODE]],CONTROL[VEHIDCODE],CONTROL[ENGLISH])</f>
        <v>GM GT26</v>
      </c>
      <c r="F277" t="s">
        <v>628</v>
      </c>
      <c r="G277" s="45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8">
        <v>115</v>
      </c>
      <c r="R277">
        <v>800</v>
      </c>
      <c r="S277">
        <v>80</v>
      </c>
      <c r="T277" s="25">
        <v>0</v>
      </c>
      <c r="U277" s="24">
        <f>IFERROR(PROPERTIES[[#This Row],[TE_STARTING_KN]]/(PROPERTIES[[#This Row],[WEIGHT]]*9.81),0)</f>
        <v>0</v>
      </c>
      <c r="V277" s="24">
        <v>0.16</v>
      </c>
      <c r="W277" s="21">
        <f>ROUND(IF(IFERROR(PROPERTIES[[#This Row],[TE_COEFFICIENT_CALC]],0)=0,PROPERTIES[[#This Row],[TE_COEFFICIENT_MANUAL]],PROPERTIES[[#This Row],[TE_COEFFICIENT_CALC]]),3)</f>
        <v>0.16</v>
      </c>
      <c r="X277" s="9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77" s="31">
        <v>0</v>
      </c>
      <c r="Z277" s="7">
        <v>0</v>
      </c>
      <c r="AA277" t="s">
        <v>242</v>
      </c>
      <c r="AB277" t="s">
        <v>2014</v>
      </c>
      <c r="AC277" t="s">
        <v>238</v>
      </c>
      <c r="AD277" s="2" t="s">
        <v>238</v>
      </c>
      <c r="AE277" s="2" t="s">
        <v>253</v>
      </c>
      <c r="AF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7" s="2" t="str">
        <f>SUBSTITUTE(SUBSTITUTE(PROPERTIES[[#This Row],[PURCHASECOST_VALUE]], "PURCHASECOST_", ""), "_VALUE", "")</f>
        <v>DIESELENGINE</v>
      </c>
      <c r="AI277" s="7" t="str" cm="1">
        <f t="array" ref="AI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7" s="43" t="b">
        <v>0</v>
      </c>
      <c r="AK277" s="8" t="b">
        <v>0</v>
      </c>
      <c r="BB277"/>
      <c r="BC277"/>
      <c r="BD277"/>
    </row>
    <row r="278" spans="1:56">
      <c r="A278" s="2" t="s">
        <v>2992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5" t="str">
        <f>_xlfn.XLOOKUP(PROPERTIES[[#This Row],[VEHIDCODE]],CONTROL[VEHIDCODE],CONTROL[ENGLISH])</f>
        <v>EMD GL8 [040DF]</v>
      </c>
      <c r="F278" t="s">
        <v>796</v>
      </c>
      <c r="G278" s="45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8">
        <v>59</v>
      </c>
      <c r="R278">
        <v>875</v>
      </c>
      <c r="S278">
        <v>100</v>
      </c>
      <c r="T278" s="25">
        <v>0</v>
      </c>
      <c r="U278" s="24">
        <f>IFERROR(PROPERTIES[[#This Row],[TE_STARTING_KN]]/(PROPERTIES[[#This Row],[WEIGHT]]*9.81),0)</f>
        <v>0</v>
      </c>
      <c r="V278" s="24">
        <v>0.25</v>
      </c>
      <c r="W278" s="21">
        <f>ROUND(IF(IFERROR(PROPERTIES[[#This Row],[TE_COEFFICIENT_CALC]],0)=0,PROPERTIES[[#This Row],[TE_COEFFICIENT_MANUAL]],PROPERTIES[[#This Row],[TE_COEFFICIENT_CALC]]),3)</f>
        <v>0.25</v>
      </c>
      <c r="X278" s="9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1">
        <v>0</v>
      </c>
      <c r="Z278" s="7">
        <v>0</v>
      </c>
      <c r="AA278" t="s">
        <v>242</v>
      </c>
      <c r="AB278" t="s">
        <v>238</v>
      </c>
      <c r="AC278" t="s">
        <v>238</v>
      </c>
      <c r="AD278" s="2" t="s">
        <v>238</v>
      </c>
      <c r="AE278" s="2" t="s">
        <v>253</v>
      </c>
      <c r="AF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8" s="2" t="str">
        <f>SUBSTITUTE(SUBSTITUTE(PROPERTIES[[#This Row],[PURCHASECOST_VALUE]], "PURCHASECOST_", ""), "_VALUE", "")</f>
        <v>DIESELENGINE</v>
      </c>
      <c r="AI278" s="7" t="str" cm="1">
        <f t="array" ref="AI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8" s="43" t="b">
        <v>0</v>
      </c>
      <c r="AK278" s="8" t="b">
        <v>1</v>
      </c>
      <c r="BB278"/>
      <c r="BC278"/>
      <c r="BD278"/>
    </row>
    <row r="279" spans="1:56">
      <c r="A279" s="2" t="s">
        <v>2993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5" t="str">
        <f>_xlfn.XLOOKUP(PROPERTIES[[#This Row],[VEHIDCODE]],CONTROL[VEHIDCODE],CONTROL[ENGLISH])</f>
        <v>LTZ TE114E</v>
      </c>
      <c r="F279" t="s">
        <v>631</v>
      </c>
      <c r="G279" s="45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8">
        <v>120</v>
      </c>
      <c r="R279">
        <v>2800</v>
      </c>
      <c r="S279">
        <v>120</v>
      </c>
      <c r="T279" s="25">
        <v>365</v>
      </c>
      <c r="U279" s="24">
        <f>IFERROR(PROPERTIES[[#This Row],[TE_STARTING_KN]]/(PROPERTIES[[#This Row],[WEIGHT]]*9.81),0)</f>
        <v>0.31005776418620457</v>
      </c>
      <c r="V279" s="24">
        <v>0</v>
      </c>
      <c r="W279" s="21">
        <f>ROUND(IF(IFERROR(PROPERTIES[[#This Row],[TE_COEFFICIENT_CALC]],0)=0,PROPERTIES[[#This Row],[TE_COEFFICIENT_MANUAL]],PROPERTIES[[#This Row],[TE_COEFFICIENT_CALC]]),3)</f>
        <v>0.31</v>
      </c>
      <c r="X279" s="9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1">
        <v>0</v>
      </c>
      <c r="Z279" s="7">
        <v>0</v>
      </c>
      <c r="AA279" t="s">
        <v>242</v>
      </c>
      <c r="AB279" t="s">
        <v>2014</v>
      </c>
      <c r="AC279" t="s">
        <v>238</v>
      </c>
      <c r="AD279" s="2" t="s">
        <v>238</v>
      </c>
      <c r="AE279" s="2" t="s">
        <v>253</v>
      </c>
      <c r="AF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9" s="2" t="str">
        <f>SUBSTITUTE(SUBSTITUTE(PROPERTIES[[#This Row],[PURCHASECOST_VALUE]], "PURCHASECOST_", ""), "_VALUE", "")</f>
        <v>DIESELENGINE</v>
      </c>
      <c r="AI279" s="7" t="str" cm="1">
        <f t="array" ref="AI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9" s="43" t="b">
        <v>0</v>
      </c>
      <c r="AK279" s="8" t="b">
        <v>0</v>
      </c>
      <c r="BB279"/>
      <c r="BC279"/>
      <c r="BD279"/>
    </row>
    <row r="280" spans="1:56">
      <c r="A280" s="2" t="s">
        <v>2994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5" t="str">
        <f>_xlfn.XLOOKUP(PROPERTIES[[#This Row],[VEHIDCODE]],CONTROL[VEHIDCODE],CONTROL[ENGLISH])</f>
        <v>GM G18</v>
      </c>
      <c r="F280" t="s">
        <v>796</v>
      </c>
      <c r="G280" s="45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8">
        <v>53</v>
      </c>
      <c r="R280">
        <v>700</v>
      </c>
      <c r="S280">
        <v>75</v>
      </c>
      <c r="T280" s="25">
        <v>128</v>
      </c>
      <c r="U280" s="24">
        <f>IFERROR(PROPERTIES[[#This Row],[TE_STARTING_KN]]/(PROPERTIES[[#This Row],[WEIGHT]]*9.81),0)</f>
        <v>0.24618698670974937</v>
      </c>
      <c r="V280" s="24">
        <v>0</v>
      </c>
      <c r="W280" s="21">
        <f>ROUND(IF(IFERROR(PROPERTIES[[#This Row],[TE_COEFFICIENT_CALC]],0)=0,PROPERTIES[[#This Row],[TE_COEFFICIENT_MANUAL]],PROPERTIES[[#This Row],[TE_COEFFICIENT_CALC]]),3)</f>
        <v>0.246</v>
      </c>
      <c r="X280" s="9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1">
        <v>0</v>
      </c>
      <c r="Z280" s="7">
        <v>0</v>
      </c>
      <c r="AA280" t="s">
        <v>242</v>
      </c>
      <c r="AB280" t="s">
        <v>246</v>
      </c>
      <c r="AC280" t="s">
        <v>240</v>
      </c>
      <c r="AD280" s="2" t="s">
        <v>247</v>
      </c>
      <c r="AE280" s="2" t="s">
        <v>253</v>
      </c>
      <c r="AF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0" s="2" t="str">
        <f>SUBSTITUTE(SUBSTITUTE(PROPERTIES[[#This Row],[PURCHASECOST_VALUE]], "PURCHASECOST_", ""), "_VALUE", "")</f>
        <v>DIESELENGINE</v>
      </c>
      <c r="AI280" s="7" t="str" cm="1">
        <f t="array" ref="AI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0" s="43" t="b">
        <v>0</v>
      </c>
      <c r="AK280" s="8" t="b">
        <v>0</v>
      </c>
      <c r="BB280"/>
      <c r="BC280"/>
      <c r="BD280"/>
    </row>
    <row r="281" spans="1:56">
      <c r="A281" s="2" t="s">
        <v>2995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5" t="str">
        <f>_xlfn.XLOOKUP(PROPERTIES[[#This Row],[VEHIDCODE]],CONTROL[VEHIDCODE],CONTROL[ENGLISH])</f>
        <v>Alsthom CC 72000</v>
      </c>
      <c r="F281" t="s">
        <v>641</v>
      </c>
      <c r="G281" s="45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8">
        <v>108</v>
      </c>
      <c r="R281">
        <v>3400</v>
      </c>
      <c r="S281">
        <v>135</v>
      </c>
      <c r="T281" s="25">
        <v>360</v>
      </c>
      <c r="U281" s="24">
        <f>IFERROR(PROPERTIES[[#This Row],[TE_STARTING_KN]]/(PROPERTIES[[#This Row],[WEIGHT]]*9.81),0)</f>
        <v>0.3397893306150187</v>
      </c>
      <c r="V281" s="24">
        <v>0</v>
      </c>
      <c r="W281" s="21">
        <f>ROUND(IF(IFERROR(PROPERTIES[[#This Row],[TE_COEFFICIENT_CALC]],0)=0,PROPERTIES[[#This Row],[TE_COEFFICIENT_MANUAL]],PROPERTIES[[#This Row],[TE_COEFFICIENT_CALC]]),3)</f>
        <v>0.34</v>
      </c>
      <c r="X281" s="9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281" s="31">
        <v>0</v>
      </c>
      <c r="Z281" s="7">
        <v>0</v>
      </c>
      <c r="AA281" t="s">
        <v>242</v>
      </c>
      <c r="AB281" t="s">
        <v>239</v>
      </c>
      <c r="AC281" t="s">
        <v>238</v>
      </c>
      <c r="AD281" s="2" t="s">
        <v>238</v>
      </c>
      <c r="AE281" s="2" t="s">
        <v>253</v>
      </c>
      <c r="AF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1" s="2" t="str">
        <f>SUBSTITUTE(SUBSTITUTE(PROPERTIES[[#This Row],[PURCHASECOST_VALUE]], "PURCHASECOST_", ""), "_VALUE", "")</f>
        <v>DIESELENGINE</v>
      </c>
      <c r="AI281" s="7" t="str" cm="1">
        <f t="array" ref="AI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81" s="43" t="b">
        <v>0</v>
      </c>
      <c r="AK281" s="8" t="b">
        <v>0</v>
      </c>
      <c r="BB281"/>
      <c r="BC281"/>
      <c r="BD281"/>
    </row>
    <row r="282" spans="1:56">
      <c r="A282" s="2" t="s">
        <v>2996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5" t="str">
        <f>_xlfn.XLOOKUP(PROPERTIES[[#This Row],[VEHIDCODE]],CONTROL[VEHIDCODE],CONTROL[ENGLISH])</f>
        <v>LTZ TEP10L</v>
      </c>
      <c r="F282" t="s">
        <v>793</v>
      </c>
      <c r="G282" s="45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8">
        <v>129</v>
      </c>
      <c r="R282">
        <v>2290</v>
      </c>
      <c r="S282">
        <v>140</v>
      </c>
      <c r="T282" s="25">
        <v>245</v>
      </c>
      <c r="U282" s="24">
        <f>IFERROR(PROPERTIES[[#This Row],[TE_STARTING_KN]]/(PROPERTIES[[#This Row],[WEIGHT]]*9.81),0)</f>
        <v>0.19360089767599903</v>
      </c>
      <c r="V282" s="24">
        <v>0</v>
      </c>
      <c r="W282" s="21">
        <f>ROUND(IF(IFERROR(PROPERTIES[[#This Row],[TE_COEFFICIENT_CALC]],0)=0,PROPERTIES[[#This Row],[TE_COEFFICIENT_MANUAL]],PROPERTIES[[#This Row],[TE_COEFFICIENT_CALC]]),3)</f>
        <v>0.19400000000000001</v>
      </c>
      <c r="X282" s="9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1">
        <v>0</v>
      </c>
      <c r="Z282" s="7">
        <v>0</v>
      </c>
      <c r="AA282" t="s">
        <v>2013</v>
      </c>
      <c r="AB282" t="s">
        <v>238</v>
      </c>
      <c r="AC282" t="s">
        <v>238</v>
      </c>
      <c r="AD282" s="2" t="s">
        <v>238</v>
      </c>
      <c r="AE282" s="2" t="s">
        <v>253</v>
      </c>
      <c r="AF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2" s="2" t="str">
        <f>SUBSTITUTE(SUBSTITUTE(PROPERTIES[[#This Row],[PURCHASECOST_VALUE]], "PURCHASECOST_", ""), "_VALUE", "")</f>
        <v>DIESELENGINE</v>
      </c>
      <c r="AI282" s="7" t="str" cm="1">
        <f t="array" ref="AI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82" s="43" t="b">
        <v>0</v>
      </c>
      <c r="AK282" s="8" t="b">
        <v>0</v>
      </c>
      <c r="BB282"/>
      <c r="BC282"/>
      <c r="BD282"/>
    </row>
    <row r="283" spans="1:56">
      <c r="A283" s="2" t="s">
        <v>2997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5" t="str">
        <f>_xlfn.XLOOKUP(PROPERTIES[[#This Row],[VEHIDCODE]],CONTROL[VEHIDCODE],CONTROL[ENGLISH])</f>
        <v>LTZ 2TE10M</v>
      </c>
      <c r="F283" t="s">
        <v>755</v>
      </c>
      <c r="G283" s="45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8">
        <v>276</v>
      </c>
      <c r="R283">
        <v>6160</v>
      </c>
      <c r="S283">
        <v>100</v>
      </c>
      <c r="T283" s="25">
        <v>784</v>
      </c>
      <c r="U283" s="24">
        <f>IFERROR(PROPERTIES[[#This Row],[TE_STARTING_KN]]/(PROPERTIES[[#This Row],[WEIGHT]]*9.81),0)</f>
        <v>0.28955960348062465</v>
      </c>
      <c r="V283" s="24">
        <v>0</v>
      </c>
      <c r="W283" s="21">
        <f>ROUND(IF(IFERROR(PROPERTIES[[#This Row],[TE_COEFFICIENT_CALC]],0)=0,PROPERTIES[[#This Row],[TE_COEFFICIENT_MANUAL]],PROPERTIES[[#This Row],[TE_COEFFICIENT_CALC]]),3)</f>
        <v>0.28999999999999998</v>
      </c>
      <c r="X283" s="9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1">
        <v>0</v>
      </c>
      <c r="Z283" s="7">
        <v>0</v>
      </c>
      <c r="AA283" t="s">
        <v>2016</v>
      </c>
      <c r="AB283" t="s">
        <v>238</v>
      </c>
      <c r="AC283" t="s">
        <v>238</v>
      </c>
      <c r="AD283" s="2" t="s">
        <v>238</v>
      </c>
      <c r="AE283" s="2" t="s">
        <v>253</v>
      </c>
      <c r="AF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3" s="2" t="str">
        <f>SUBSTITUTE(SUBSTITUTE(PROPERTIES[[#This Row],[PURCHASECOST_VALUE]], "PURCHASECOST_", ""), "_VALUE", "")</f>
        <v>DIESELENGINE</v>
      </c>
      <c r="AI283" s="7" t="str" cm="1">
        <f t="array" ref="AI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3" s="43" t="b">
        <v>0</v>
      </c>
      <c r="AK283" s="8" t="b">
        <v>1</v>
      </c>
      <c r="BB283"/>
      <c r="BC283"/>
      <c r="BD283"/>
    </row>
    <row r="284" spans="1:56">
      <c r="A284" s="2" t="s">
        <v>2998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5" t="str">
        <f>_xlfn.XLOOKUP(PROPERTIES[[#This Row],[VEHIDCODE]],CONTROL[VEHIDCODE],CONTROL[ENGLISH])</f>
        <v>FAUR LDE1300</v>
      </c>
      <c r="F284" t="s">
        <v>744</v>
      </c>
      <c r="G284" s="45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8">
        <v>74</v>
      </c>
      <c r="R284">
        <v>1015</v>
      </c>
      <c r="S284">
        <v>100</v>
      </c>
      <c r="T284" s="25">
        <v>181.42</v>
      </c>
      <c r="U284" s="24">
        <f>IFERROR(PROPERTIES[[#This Row],[TE_STARTING_KN]]/(PROPERTIES[[#This Row],[WEIGHT]]*9.81),0)</f>
        <v>0.2499104609196352</v>
      </c>
      <c r="V284" s="24">
        <v>0</v>
      </c>
      <c r="W284" s="21">
        <f>ROUND(IF(IFERROR(PROPERTIES[[#This Row],[TE_COEFFICIENT_CALC]],0)=0,PROPERTIES[[#This Row],[TE_COEFFICIENT_MANUAL]],PROPERTIES[[#This Row],[TE_COEFFICIENT_CALC]]),3)</f>
        <v>0.25</v>
      </c>
      <c r="X284" s="9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1">
        <v>0</v>
      </c>
      <c r="Z284" s="7">
        <v>0</v>
      </c>
      <c r="AA284" t="s">
        <v>245</v>
      </c>
      <c r="AB284" t="s">
        <v>238</v>
      </c>
      <c r="AC284" t="s">
        <v>238</v>
      </c>
      <c r="AD284" s="2" t="s">
        <v>238</v>
      </c>
      <c r="AE284" s="2" t="s">
        <v>253</v>
      </c>
      <c r="AF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4" s="2" t="str">
        <f>SUBSTITUTE(SUBSTITUTE(PROPERTIES[[#This Row],[PURCHASECOST_VALUE]], "PURCHASECOST_", ""), "_VALUE", "")</f>
        <v>DIESELENGINE</v>
      </c>
      <c r="AI284" s="7" t="str" cm="1">
        <f t="array" ref="AI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4" s="43" t="b">
        <v>0</v>
      </c>
      <c r="AK284" s="8" t="b">
        <v>0</v>
      </c>
      <c r="BB284"/>
      <c r="BC284"/>
      <c r="BD284"/>
    </row>
    <row r="285" spans="1:56">
      <c r="A285" s="2" t="s">
        <v>2999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5" t="str">
        <f>_xlfn.XLOOKUP(PROPERTIES[[#This Row],[VEHIDCODE]],CONTROL[VEHIDCODE],CONTROL[ENGLISH])</f>
        <v>LTZ 2TE126</v>
      </c>
      <c r="F285" t="s">
        <v>793</v>
      </c>
      <c r="G285" s="45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8">
        <v>272</v>
      </c>
      <c r="R285">
        <v>6035</v>
      </c>
      <c r="S285">
        <v>100</v>
      </c>
      <c r="T285" s="25">
        <f>2*255</f>
        <v>510</v>
      </c>
      <c r="U285" s="24">
        <f>IFERROR(PROPERTIES[[#This Row],[TE_STARTING_KN]]/(PROPERTIES[[#This Row],[WEIGHT]]*9.81),0)</f>
        <v>0.19113149847094801</v>
      </c>
      <c r="V285" s="24">
        <v>0</v>
      </c>
      <c r="W285" s="21">
        <f>ROUND(IF(IFERROR(PROPERTIES[[#This Row],[TE_COEFFICIENT_CALC]],0)=0,PROPERTIES[[#This Row],[TE_COEFFICIENT_MANUAL]],PROPERTIES[[#This Row],[TE_COEFFICIENT_CALC]]),3)</f>
        <v>0.191</v>
      </c>
      <c r="X285" s="9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1">
        <v>0</v>
      </c>
      <c r="Z285" s="7">
        <v>0</v>
      </c>
      <c r="AA285" t="s">
        <v>2013</v>
      </c>
      <c r="AB285" t="s">
        <v>238</v>
      </c>
      <c r="AC285" t="s">
        <v>238</v>
      </c>
      <c r="AD285" s="2" t="s">
        <v>238</v>
      </c>
      <c r="AE285" s="2" t="s">
        <v>253</v>
      </c>
      <c r="AF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5" s="2" t="str">
        <f>SUBSTITUTE(SUBSTITUTE(PROPERTIES[[#This Row],[PURCHASECOST_VALUE]], "PURCHASECOST_", ""), "_VALUE", "")</f>
        <v>DIESELENGINE</v>
      </c>
      <c r="AI285" s="7" t="str" cm="1">
        <f t="array" ref="AI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5" s="43" t="b">
        <v>0</v>
      </c>
      <c r="AK285" s="8" t="b">
        <v>1</v>
      </c>
      <c r="BB285"/>
      <c r="BC285"/>
      <c r="BD285"/>
    </row>
    <row r="286" spans="1:56">
      <c r="A286" s="2" t="s">
        <v>3000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5" t="str">
        <f>_xlfn.XLOOKUP(PROPERTIES[[#This Row],[VEHIDCODE]],CONTROL[VEHIDCODE],CONTROL[ENGLISH])</f>
        <v>LTZ 2TE10Ut</v>
      </c>
      <c r="F286" t="s">
        <v>793</v>
      </c>
      <c r="G286" s="45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8">
        <v>276</v>
      </c>
      <c r="R286">
        <v>4560</v>
      </c>
      <c r="S286">
        <v>120</v>
      </c>
      <c r="T286" s="25">
        <v>0</v>
      </c>
      <c r="U286" s="24">
        <f>IFERROR(PROPERTIES[[#This Row],[TE_STARTING_KN]]/(PROPERTIES[[#This Row],[WEIGHT]]*9.81),0)</f>
        <v>0</v>
      </c>
      <c r="V286" s="24">
        <v>0.15</v>
      </c>
      <c r="W286" s="21">
        <f>ROUND(IF(IFERROR(PROPERTIES[[#This Row],[TE_COEFFICIENT_CALC]],0)=0,PROPERTIES[[#This Row],[TE_COEFFICIENT_MANUAL]],PROPERTIES[[#This Row],[TE_COEFFICIENT_CALC]]),3)</f>
        <v>0.15</v>
      </c>
      <c r="X286" s="9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1">
        <v>0</v>
      </c>
      <c r="Z286" s="7">
        <v>0</v>
      </c>
      <c r="AA286" t="s">
        <v>2013</v>
      </c>
      <c r="AB286" t="s">
        <v>238</v>
      </c>
      <c r="AC286" t="s">
        <v>238</v>
      </c>
      <c r="AD286" s="2" t="s">
        <v>238</v>
      </c>
      <c r="AE286" s="2" t="s">
        <v>253</v>
      </c>
      <c r="AF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6" s="2" t="str">
        <f>SUBSTITUTE(SUBSTITUTE(PROPERTIES[[#This Row],[PURCHASECOST_VALUE]], "PURCHASECOST_", ""), "_VALUE", "")</f>
        <v>DIESELENGINE</v>
      </c>
      <c r="AI286" s="7" t="str" cm="1">
        <f t="array" ref="AI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6" s="43" t="b">
        <v>0</v>
      </c>
      <c r="AK286" s="8" t="b">
        <v>1</v>
      </c>
      <c r="BB286"/>
      <c r="BC286"/>
      <c r="BD286"/>
    </row>
    <row r="287" spans="1:56">
      <c r="A287" s="2" t="s">
        <v>3001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5" t="str">
        <f>_xlfn.XLOOKUP(PROPERTIES[[#This Row],[VEHIDCODE]],CONTROL[VEHIDCODE],CONTROL[ENGLISH])</f>
        <v>CMKS 709 0-4-0DE</v>
      </c>
      <c r="F287" t="s">
        <v>754</v>
      </c>
      <c r="G287" s="45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8">
        <v>36</v>
      </c>
      <c r="R287">
        <v>530</v>
      </c>
      <c r="S287">
        <v>80</v>
      </c>
      <c r="T287" s="25">
        <v>108</v>
      </c>
      <c r="U287" s="24">
        <f>IFERROR(PROPERTIES[[#This Row],[TE_STARTING_KN]]/(PROPERTIES[[#This Row],[WEIGHT]]*9.81),0)</f>
        <v>0.3058103975535168</v>
      </c>
      <c r="V287" s="24">
        <v>0</v>
      </c>
      <c r="W287" s="21">
        <f>ROUND(IF(IFERROR(PROPERTIES[[#This Row],[TE_COEFFICIENT_CALC]],0)=0,PROPERTIES[[#This Row],[TE_COEFFICIENT_MANUAL]],PROPERTIES[[#This Row],[TE_COEFFICIENT_CALC]]),3)</f>
        <v>0.30599999999999999</v>
      </c>
      <c r="X287" s="9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1">
        <v>0</v>
      </c>
      <c r="Z287" s="7">
        <v>0</v>
      </c>
      <c r="AA287" t="s">
        <v>245</v>
      </c>
      <c r="AB287" t="s">
        <v>238</v>
      </c>
      <c r="AC287" t="s">
        <v>238</v>
      </c>
      <c r="AD287" s="2" t="s">
        <v>238</v>
      </c>
      <c r="AE287" s="2" t="s">
        <v>253</v>
      </c>
      <c r="AF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7" s="2" t="str">
        <f>SUBSTITUTE(SUBSTITUTE(PROPERTIES[[#This Row],[PURCHASECOST_VALUE]], "PURCHASECOST_", ""), "_VALUE", "")</f>
        <v>DIESELENGINE</v>
      </c>
      <c r="AI287" s="7" t="str" cm="1">
        <f t="array" ref="AI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7" s="43" t="b">
        <v>0</v>
      </c>
      <c r="AK287" s="8" t="b">
        <v>0</v>
      </c>
      <c r="BB287"/>
      <c r="BC287"/>
      <c r="BD287"/>
    </row>
    <row r="288" spans="1:56">
      <c r="A288" s="2" t="s">
        <v>3002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5" t="str">
        <f>_xlfn.XLOOKUP(PROPERTIES[[#This Row],[VEHIDCODE]],CONTROL[VEHIDCODE],CONTROL[ENGLISH])</f>
        <v>Antonio Badoni Lecco 'Sogliole' 207</v>
      </c>
      <c r="F288" t="s">
        <v>675</v>
      </c>
      <c r="G288" s="45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8">
        <v>6</v>
      </c>
      <c r="R288">
        <v>75</v>
      </c>
      <c r="S288">
        <v>30</v>
      </c>
      <c r="T288" s="25">
        <v>13</v>
      </c>
      <c r="U288" s="24">
        <f>IFERROR(PROPERTIES[[#This Row],[TE_STARTING_KN]]/(PROPERTIES[[#This Row],[WEIGHT]]*9.81),0)</f>
        <v>0.22086306489976215</v>
      </c>
      <c r="V288" s="24">
        <v>0</v>
      </c>
      <c r="W288" s="21">
        <f>ROUND(IF(IFERROR(PROPERTIES[[#This Row],[TE_COEFFICIENT_CALC]],0)=0,PROPERTIES[[#This Row],[TE_COEFFICIENT_MANUAL]],PROPERTIES[[#This Row],[TE_COEFFICIENT_CALC]]),3)</f>
        <v>0.221</v>
      </c>
      <c r="X288" s="9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1">
        <v>0</v>
      </c>
      <c r="Z288" s="7">
        <v>0</v>
      </c>
      <c r="AA288" t="s">
        <v>240</v>
      </c>
      <c r="AB288" t="s">
        <v>242</v>
      </c>
      <c r="AC288" t="s">
        <v>238</v>
      </c>
      <c r="AD288" s="2" t="s">
        <v>238</v>
      </c>
      <c r="AE288" s="2" t="s">
        <v>253</v>
      </c>
      <c r="AF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8" s="2" t="str">
        <f>SUBSTITUTE(SUBSTITUTE(PROPERTIES[[#This Row],[PURCHASECOST_VALUE]], "PURCHASECOST_", ""), "_VALUE", "")</f>
        <v>DIESELENGINE</v>
      </c>
      <c r="AI288" s="7" t="str" cm="1">
        <f t="array" ref="AI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88" s="43" t="b">
        <v>0</v>
      </c>
      <c r="AK288" s="8" t="b">
        <v>0</v>
      </c>
      <c r="BB288"/>
      <c r="BC288"/>
      <c r="BD288"/>
    </row>
    <row r="289" spans="1:56">
      <c r="A289" s="2" t="s">
        <v>3003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5" t="str">
        <f>_xlfn.XLOOKUP(PROPERTIES[[#This Row],[VEHIDCODE]],CONTROL[VEHIDCODE],CONTROL[ENGLISH])</f>
        <v>Baldwin 0-6-6-0 1000</v>
      </c>
      <c r="F289" t="s">
        <v>755</v>
      </c>
      <c r="G289" s="45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8">
        <v>122</v>
      </c>
      <c r="R289">
        <v>1000</v>
      </c>
      <c r="S289">
        <v>97</v>
      </c>
      <c r="T289" s="25">
        <v>310</v>
      </c>
      <c r="U289" s="24">
        <f>IFERROR(PROPERTIES[[#This Row],[TE_STARTING_KN]]/(PROPERTIES[[#This Row],[WEIGHT]]*9.81),0)</f>
        <v>0.2590197356327601</v>
      </c>
      <c r="V289" s="24">
        <v>0</v>
      </c>
      <c r="W289" s="21">
        <f>ROUND(IF(IFERROR(PROPERTIES[[#This Row],[TE_COEFFICIENT_CALC]],0)=0,PROPERTIES[[#This Row],[TE_COEFFICIENT_MANUAL]],PROPERTIES[[#This Row],[TE_COEFFICIENT_CALC]]),3)</f>
        <v>0.25900000000000001</v>
      </c>
      <c r="X289" s="9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1">
        <v>0</v>
      </c>
      <c r="Z289" s="7">
        <v>0</v>
      </c>
      <c r="AA289" t="s">
        <v>2013</v>
      </c>
      <c r="AB289" t="s">
        <v>238</v>
      </c>
      <c r="AC289" t="s">
        <v>238</v>
      </c>
      <c r="AD289" s="2" t="s">
        <v>238</v>
      </c>
      <c r="AE289" s="2" t="s">
        <v>253</v>
      </c>
      <c r="AF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9" s="2" t="str">
        <f>SUBSTITUTE(SUBSTITUTE(PROPERTIES[[#This Row],[PURCHASECOST_VALUE]], "PURCHASECOST_", ""), "_VALUE", "")</f>
        <v>DIESELENGINE</v>
      </c>
      <c r="AI289" s="7" t="str" cm="1">
        <f t="array" ref="AI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9" s="43" t="b">
        <v>0</v>
      </c>
      <c r="AK289" s="8" t="b">
        <v>0</v>
      </c>
      <c r="BB289"/>
      <c r="BC289"/>
      <c r="BD289"/>
    </row>
    <row r="290" spans="1:56">
      <c r="A290" s="2" t="s">
        <v>3004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5" t="str">
        <f>_xlfn.XLOOKUP(PROPERTIES[[#This Row],[VEHIDCODE]],CONTROL[VEHIDCODE],CONTROL[ENGLISH])</f>
        <v>ALCO RSC-2</v>
      </c>
      <c r="F290" t="s">
        <v>749</v>
      </c>
      <c r="G290" s="45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8">
        <v>111</v>
      </c>
      <c r="R290">
        <v>1500</v>
      </c>
      <c r="S290">
        <v>120</v>
      </c>
      <c r="T290" s="25">
        <v>0</v>
      </c>
      <c r="U290" s="24">
        <f>IFERROR(PROPERTIES[[#This Row],[TE_STARTING_KN]]/(PROPERTIES[[#This Row],[WEIGHT]]*9.81),0)</f>
        <v>0</v>
      </c>
      <c r="V290" s="24">
        <v>0.15</v>
      </c>
      <c r="W290" s="21">
        <f>ROUND(IF(IFERROR(PROPERTIES[[#This Row],[TE_COEFFICIENT_CALC]],0)=0,PROPERTIES[[#This Row],[TE_COEFFICIENT_MANUAL]],PROPERTIES[[#This Row],[TE_COEFFICIENT_CALC]]),3)</f>
        <v>0.15</v>
      </c>
      <c r="X290" s="9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1">
        <v>0</v>
      </c>
      <c r="Z290" s="7">
        <v>0</v>
      </c>
      <c r="AA290" t="s">
        <v>240</v>
      </c>
      <c r="AB290" t="s">
        <v>244</v>
      </c>
      <c r="AC290" t="s">
        <v>242</v>
      </c>
      <c r="AD290" s="2" t="s">
        <v>242</v>
      </c>
      <c r="AE290" s="2" t="s">
        <v>253</v>
      </c>
      <c r="AF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0" s="2" t="str">
        <f>SUBSTITUTE(SUBSTITUTE(PROPERTIES[[#This Row],[PURCHASECOST_VALUE]], "PURCHASECOST_", ""), "_VALUE", "")</f>
        <v>DIESELENGINE</v>
      </c>
      <c r="AI290" s="7" t="str" cm="1">
        <f t="array" ref="AI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0" s="43" t="b">
        <v>0</v>
      </c>
      <c r="AK290" s="8" t="b">
        <v>0</v>
      </c>
      <c r="BB290"/>
      <c r="BC290"/>
      <c r="BD290"/>
    </row>
    <row r="291" spans="1:56">
      <c r="A291" s="2" t="s">
        <v>3005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5" t="str">
        <f>_xlfn.XLOOKUP(PROPERTIES[[#This Row],[VEHIDCODE]],CONTROL[VEHIDCODE],CONTROL[ENGLISH])</f>
        <v>Brissonneau and Lotz BB 67400</v>
      </c>
      <c r="F291" t="s">
        <v>641</v>
      </c>
      <c r="G291" s="45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8">
        <v>83</v>
      </c>
      <c r="R291">
        <v>2367</v>
      </c>
      <c r="S291">
        <v>140</v>
      </c>
      <c r="T291" s="25">
        <v>250</v>
      </c>
      <c r="U291" s="24">
        <f>IFERROR(PROPERTIES[[#This Row],[TE_STARTING_KN]]/(PROPERTIES[[#This Row],[WEIGHT]]*9.81),0)</f>
        <v>0.30703855176055905</v>
      </c>
      <c r="V291" s="24">
        <v>0</v>
      </c>
      <c r="W291" s="21">
        <f>ROUND(IF(IFERROR(PROPERTIES[[#This Row],[TE_COEFFICIENT_CALC]],0)=0,PROPERTIES[[#This Row],[TE_COEFFICIENT_MANUAL]],PROPERTIES[[#This Row],[TE_COEFFICIENT_CALC]]),3)</f>
        <v>0.307</v>
      </c>
      <c r="X291" s="9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1">
        <v>0</v>
      </c>
      <c r="Z291" s="7">
        <v>0</v>
      </c>
      <c r="AA291" t="s">
        <v>239</v>
      </c>
      <c r="AB291" t="s">
        <v>238</v>
      </c>
      <c r="AC291" t="s">
        <v>238</v>
      </c>
      <c r="AD291" s="2" t="s">
        <v>238</v>
      </c>
      <c r="AE291" s="2" t="s">
        <v>253</v>
      </c>
      <c r="AF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1" s="2" t="str">
        <f>SUBSTITUTE(SUBSTITUTE(PROPERTIES[[#This Row],[PURCHASECOST_VALUE]], "PURCHASECOST_", ""), "_VALUE", "")</f>
        <v>DIESELENGINE</v>
      </c>
      <c r="AI291" s="7" t="str" cm="1">
        <f t="array" ref="AI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1" s="43" t="b">
        <v>0</v>
      </c>
      <c r="AK291" s="8" t="b">
        <v>0</v>
      </c>
      <c r="BB291"/>
      <c r="BC291"/>
      <c r="BD291"/>
    </row>
    <row r="292" spans="1:56">
      <c r="A292" s="2" t="s">
        <v>3006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5" t="str">
        <f>_xlfn.XLOOKUP(PROPERTIES[[#This Row],[VEHIDCODE]],CONTROL[VEHIDCODE],CONTROL[ENGLISH])</f>
        <v>MaK DE 6400</v>
      </c>
      <c r="F292" t="s">
        <v>731</v>
      </c>
      <c r="G292" s="45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8">
        <v>80</v>
      </c>
      <c r="R292">
        <v>1580</v>
      </c>
      <c r="S292">
        <v>120</v>
      </c>
      <c r="T292" s="25">
        <v>290</v>
      </c>
      <c r="U292" s="24">
        <f>IFERROR(PROPERTIES[[#This Row],[TE_STARTING_KN]]/(PROPERTIES[[#This Row],[WEIGHT]]*9.81),0)</f>
        <v>0.36952089704383279</v>
      </c>
      <c r="V292" s="24">
        <v>0</v>
      </c>
      <c r="W292" s="21">
        <f>ROUND(IF(IFERROR(PROPERTIES[[#This Row],[TE_COEFFICIENT_CALC]],0)=0,PROPERTIES[[#This Row],[TE_COEFFICIENT_MANUAL]],PROPERTIES[[#This Row],[TE_COEFFICIENT_CALC]]),3)</f>
        <v>0.37</v>
      </c>
      <c r="X292" s="9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1">
        <v>0</v>
      </c>
      <c r="Z292" s="7">
        <v>0</v>
      </c>
      <c r="AA292" t="s">
        <v>239</v>
      </c>
      <c r="AB292" t="s">
        <v>245</v>
      </c>
      <c r="AC292" t="s">
        <v>238</v>
      </c>
      <c r="AD292" s="2" t="s">
        <v>238</v>
      </c>
      <c r="AE292" s="2" t="s">
        <v>253</v>
      </c>
      <c r="AF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2" s="2" t="str">
        <f>SUBSTITUTE(SUBSTITUTE(PROPERTIES[[#This Row],[PURCHASECOST_VALUE]], "PURCHASECOST_", ""), "_VALUE", "")</f>
        <v>DIESELENGINE</v>
      </c>
      <c r="AI292" s="7" t="str" cm="1">
        <f t="array" ref="AI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2" s="43" t="b">
        <v>0</v>
      </c>
      <c r="AK292" s="8" t="b">
        <v>0</v>
      </c>
      <c r="BB292"/>
      <c r="BC292"/>
      <c r="BD292"/>
    </row>
    <row r="293" spans="1:56">
      <c r="A293" s="2" t="s">
        <v>3007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5" t="str">
        <f>_xlfn.XLOOKUP(PROPERTIES[[#This Row],[VEHIDCODE]],CONTROL[VEHIDCODE],CONTROL[ENGLISH])</f>
        <v>GE ES40ACi</v>
      </c>
      <c r="F293" t="s">
        <v>631</v>
      </c>
      <c r="G293" s="45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8">
        <v>140</v>
      </c>
      <c r="R293">
        <v>4250</v>
      </c>
      <c r="S293">
        <v>121</v>
      </c>
      <c r="T293" s="25">
        <v>810</v>
      </c>
      <c r="U293" s="24">
        <f>IFERROR(PROPERTIES[[#This Row],[TE_STARTING_KN]]/(PROPERTIES[[#This Row],[WEIGHT]]*9.81),0)</f>
        <v>0.58977719528178241</v>
      </c>
      <c r="V293" s="24">
        <v>0</v>
      </c>
      <c r="W293" s="21">
        <f>ROUND(IF(IFERROR(PROPERTIES[[#This Row],[TE_COEFFICIENT_CALC]],0)=0,PROPERTIES[[#This Row],[TE_COEFFICIENT_MANUAL]],PROPERTIES[[#This Row],[TE_COEFFICIENT_CALC]]),3)</f>
        <v>0.59</v>
      </c>
      <c r="X293" s="9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1">
        <v>0</v>
      </c>
      <c r="Z293" s="7">
        <v>0</v>
      </c>
      <c r="AA293" t="s">
        <v>242</v>
      </c>
      <c r="AB293" t="s">
        <v>238</v>
      </c>
      <c r="AC293" t="s">
        <v>238</v>
      </c>
      <c r="AD293" s="2" t="s">
        <v>238</v>
      </c>
      <c r="AE293" s="2" t="s">
        <v>253</v>
      </c>
      <c r="AF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3" s="2" t="str">
        <f>SUBSTITUTE(SUBSTITUTE(PROPERTIES[[#This Row],[PURCHASECOST_VALUE]], "PURCHASECOST_", ""), "_VALUE", "")</f>
        <v>DIESELENGINE</v>
      </c>
      <c r="AI293" s="7" t="str" cm="1">
        <f t="array" ref="AI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3" s="43" t="b">
        <v>0</v>
      </c>
      <c r="AK293" s="8" t="b">
        <v>0</v>
      </c>
      <c r="BB293"/>
      <c r="BC293"/>
      <c r="BD293"/>
    </row>
    <row r="294" spans="1:56">
      <c r="A294" s="2" t="s">
        <v>3008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5" t="str">
        <f>_xlfn.XLOOKUP(PROPERTIES[[#This Row],[VEHIDCODE]],CONTROL[VEHIDCODE],CONTROL[ENGLISH])</f>
        <v>Vossloh Afro 4000</v>
      </c>
      <c r="F294" t="s">
        <v>810</v>
      </c>
      <c r="G294" s="45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8">
        <v>123</v>
      </c>
      <c r="R294">
        <v>4262</v>
      </c>
      <c r="S294">
        <v>130</v>
      </c>
      <c r="T294" s="25">
        <v>0</v>
      </c>
      <c r="U294" s="24">
        <f>IFERROR(PROPERTIES[[#This Row],[TE_STARTING_KN]]/(PROPERTIES[[#This Row],[WEIGHT]]*9.81),0)</f>
        <v>0</v>
      </c>
      <c r="V294" s="24">
        <v>0.26</v>
      </c>
      <c r="W294" s="21">
        <f>ROUND(IF(IFERROR(PROPERTIES[[#This Row],[TE_COEFFICIENT_CALC]],0)=0,PROPERTIES[[#This Row],[TE_COEFFICIENT_MANUAL]],PROPERTIES[[#This Row],[TE_COEFFICIENT_CALC]]),3)</f>
        <v>0.26</v>
      </c>
      <c r="X294" s="9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1">
        <v>0</v>
      </c>
      <c r="Z294" s="7">
        <v>0</v>
      </c>
      <c r="AA294" t="s">
        <v>242</v>
      </c>
      <c r="AB294" t="s">
        <v>238</v>
      </c>
      <c r="AC294" t="s">
        <v>238</v>
      </c>
      <c r="AD294" s="2" t="s">
        <v>238</v>
      </c>
      <c r="AE294" s="2" t="s">
        <v>253</v>
      </c>
      <c r="AF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4" s="2" t="str">
        <f>SUBSTITUTE(SUBSTITUTE(PROPERTIES[[#This Row],[PURCHASECOST_VALUE]], "PURCHASECOST_", ""), "_VALUE", "")</f>
        <v>DIESELENGINE</v>
      </c>
      <c r="AI294" s="7" t="str" cm="1">
        <f t="array" ref="AI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4" s="43" t="b">
        <v>0</v>
      </c>
      <c r="AK294" s="8" t="b">
        <v>0</v>
      </c>
      <c r="BB294"/>
      <c r="BC294"/>
      <c r="BD294"/>
    </row>
    <row r="295" spans="1:56">
      <c r="A295" s="2" t="s">
        <v>3009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5" t="str">
        <f>_xlfn.XLOOKUP(PROPERTIES[[#This Row],[VEHIDCODE]],CONTROL[VEHIDCODE],CONTROL[ENGLISH])</f>
        <v>GE U10B</v>
      </c>
      <c r="F295" t="s">
        <v>634</v>
      </c>
      <c r="G295" s="45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8">
        <v>64</v>
      </c>
      <c r="R295">
        <v>710</v>
      </c>
      <c r="S295">
        <v>120</v>
      </c>
      <c r="T295" s="25">
        <v>126</v>
      </c>
      <c r="U295" s="24">
        <f>IFERROR(PROPERTIES[[#This Row],[TE_STARTING_KN]]/(PROPERTIES[[#This Row],[WEIGHT]]*9.81),0)</f>
        <v>0.2006880733944954</v>
      </c>
      <c r="V295" s="24">
        <v>0</v>
      </c>
      <c r="W295" s="21">
        <f>ROUND(IF(IFERROR(PROPERTIES[[#This Row],[TE_COEFFICIENT_CALC]],0)=0,PROPERTIES[[#This Row],[TE_COEFFICIENT_MANUAL]],PROPERTIES[[#This Row],[TE_COEFFICIENT_CALC]]),3)</f>
        <v>0.20100000000000001</v>
      </c>
      <c r="X295" s="9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1">
        <v>0</v>
      </c>
      <c r="Z295" s="7">
        <v>0</v>
      </c>
      <c r="AA295" t="s">
        <v>240</v>
      </c>
      <c r="AB295" t="s">
        <v>246</v>
      </c>
      <c r="AC295" t="s">
        <v>2012</v>
      </c>
      <c r="AD295" s="2" t="s">
        <v>242</v>
      </c>
      <c r="AE295" s="2" t="s">
        <v>253</v>
      </c>
      <c r="AF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5" s="2" t="str">
        <f>SUBSTITUTE(SUBSTITUTE(PROPERTIES[[#This Row],[PURCHASECOST_VALUE]], "PURCHASECOST_", ""), "_VALUE", "")</f>
        <v>DIESELENGINE</v>
      </c>
      <c r="AI295" s="7" t="str" cm="1">
        <f t="array" ref="AI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5" s="43" t="b">
        <v>0</v>
      </c>
      <c r="AK295" s="8" t="b">
        <v>0</v>
      </c>
      <c r="BB295"/>
      <c r="BC295"/>
      <c r="BD295"/>
    </row>
    <row r="296" spans="1:56">
      <c r="A296" s="2" t="s">
        <v>3010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5" t="str">
        <f>_xlfn.XLOOKUP(PROPERTIES[[#This Row],[VEHIDCODE]],CONTROL[VEHIDCODE],CONTROL[ENGLISH])</f>
        <v>EMD/Pacific GT26C-3</v>
      </c>
      <c r="F296" t="s">
        <v>580</v>
      </c>
      <c r="G296" s="45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8">
        <v>124</v>
      </c>
      <c r="R296">
        <v>3300</v>
      </c>
      <c r="S296">
        <v>115</v>
      </c>
      <c r="T296" s="25">
        <v>385</v>
      </c>
      <c r="U296" s="24">
        <f>IFERROR(PROPERTIES[[#This Row],[TE_STARTING_KN]]/(PROPERTIES[[#This Row],[WEIGHT]]*9.81),0)</f>
        <v>0.3164973200486666</v>
      </c>
      <c r="V296" s="24">
        <v>0</v>
      </c>
      <c r="W296" s="21">
        <f>ROUND(IF(IFERROR(PROPERTIES[[#This Row],[TE_COEFFICIENT_CALC]],0)=0,PROPERTIES[[#This Row],[TE_COEFFICIENT_MANUAL]],PROPERTIES[[#This Row],[TE_COEFFICIENT_CALC]]),3)</f>
        <v>0.316</v>
      </c>
      <c r="X296" s="9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1">
        <v>0</v>
      </c>
      <c r="Z296" s="7">
        <v>0</v>
      </c>
      <c r="AA296" t="s">
        <v>241</v>
      </c>
      <c r="AB296" t="s">
        <v>238</v>
      </c>
      <c r="AC296" t="s">
        <v>238</v>
      </c>
      <c r="AD296" s="2" t="s">
        <v>238</v>
      </c>
      <c r="AE296" s="2" t="s">
        <v>253</v>
      </c>
      <c r="AF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6" s="2" t="str">
        <f>SUBSTITUTE(SUBSTITUTE(PROPERTIES[[#This Row],[PURCHASECOST_VALUE]], "PURCHASECOST_", ""), "_VALUE", "")</f>
        <v>DIESELENGINE</v>
      </c>
      <c r="AI296" s="7" t="str" cm="1">
        <f t="array" ref="AI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6" s="43" t="b">
        <v>0</v>
      </c>
      <c r="AK296" s="8" t="b">
        <v>0</v>
      </c>
      <c r="BB296"/>
      <c r="BC296"/>
      <c r="BD296"/>
    </row>
    <row r="297" spans="1:56">
      <c r="A297" s="2" t="s">
        <v>3011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5" t="str">
        <f>_xlfn.XLOOKUP(PROPERTIES[[#This Row],[VEHIDCODE]],CONTROL[VEHIDCODE],CONTROL[ENGLISH])</f>
        <v>CargoNet 312</v>
      </c>
      <c r="F297" t="s">
        <v>732</v>
      </c>
      <c r="G297" s="45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8">
        <v>123</v>
      </c>
      <c r="R297">
        <v>4262</v>
      </c>
      <c r="S297">
        <v>120</v>
      </c>
      <c r="T297" s="25">
        <v>400</v>
      </c>
      <c r="U297" s="24">
        <f>IFERROR(PROPERTIES[[#This Row],[TE_STARTING_KN]]/(PROPERTIES[[#This Row],[WEIGHT]]*9.81),0)</f>
        <v>0.33150178596587188</v>
      </c>
      <c r="V297" s="24">
        <v>0</v>
      </c>
      <c r="W297" s="21">
        <f>ROUND(IF(IFERROR(PROPERTIES[[#This Row],[TE_COEFFICIENT_CALC]],0)=0,PROPERTIES[[#This Row],[TE_COEFFICIENT_MANUAL]],PROPERTIES[[#This Row],[TE_COEFFICIENT_CALC]]),3)</f>
        <v>0.33200000000000002</v>
      </c>
      <c r="X297" s="9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1">
        <v>0</v>
      </c>
      <c r="Z297" s="7">
        <v>0</v>
      </c>
      <c r="AA297" t="s">
        <v>243</v>
      </c>
      <c r="AB297" t="s">
        <v>238</v>
      </c>
      <c r="AC297" t="s">
        <v>238</v>
      </c>
      <c r="AD297" s="2" t="s">
        <v>238</v>
      </c>
      <c r="AE297" s="2" t="s">
        <v>253</v>
      </c>
      <c r="AF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7" s="2" t="str">
        <f>SUBSTITUTE(SUBSTITUTE(PROPERTIES[[#This Row],[PURCHASECOST_VALUE]], "PURCHASECOST_", ""), "_VALUE", "")</f>
        <v>DIESELENGINE</v>
      </c>
      <c r="AI297" s="7" t="str" cm="1">
        <f t="array" ref="AI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7" s="43" t="b">
        <v>0</v>
      </c>
      <c r="AK297" s="8" t="b">
        <v>0</v>
      </c>
      <c r="BB297"/>
      <c r="BC297"/>
      <c r="BD297"/>
    </row>
    <row r="298" spans="1:56">
      <c r="A298" s="2" t="s">
        <v>3012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5" t="str">
        <f>_xlfn.XLOOKUP(PROPERTIES[[#This Row],[VEHIDCODE]],CONTROL[VEHIDCODE],CONTROL[ENGLISH])</f>
        <v>GE/Pacific C44ESACi</v>
      </c>
      <c r="F298" t="s">
        <v>580</v>
      </c>
      <c r="G298" s="45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8">
        <v>140</v>
      </c>
      <c r="R298">
        <v>4520</v>
      </c>
      <c r="S298">
        <v>115</v>
      </c>
      <c r="T298" s="25">
        <v>535</v>
      </c>
      <c r="U298" s="24">
        <f>IFERROR(PROPERTIES[[#This Row],[TE_STARTING_KN]]/(PROPERTIES[[#This Row],[WEIGHT]]*9.81),0)</f>
        <v>0.38954419688364639</v>
      </c>
      <c r="V298" s="24">
        <v>0</v>
      </c>
      <c r="W298" s="21">
        <f>ROUND(IF(IFERROR(PROPERTIES[[#This Row],[TE_COEFFICIENT_CALC]],0)=0,PROPERTIES[[#This Row],[TE_COEFFICIENT_MANUAL]],PROPERTIES[[#This Row],[TE_COEFFICIENT_CALC]]),3)</f>
        <v>0.39</v>
      </c>
      <c r="X298" s="9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1">
        <v>0</v>
      </c>
      <c r="Z298" s="7">
        <v>0</v>
      </c>
      <c r="AA298" t="s">
        <v>241</v>
      </c>
      <c r="AB298" t="s">
        <v>238</v>
      </c>
      <c r="AC298" t="s">
        <v>238</v>
      </c>
      <c r="AD298" s="2" t="s">
        <v>238</v>
      </c>
      <c r="AE298" s="2" t="s">
        <v>253</v>
      </c>
      <c r="AF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8" s="2" t="str">
        <f>SUBSTITUTE(SUBSTITUTE(PROPERTIES[[#This Row],[PURCHASECOST_VALUE]], "PURCHASECOST_", ""), "_VALUE", "")</f>
        <v>DIESELENGINE</v>
      </c>
      <c r="AI298" s="7" t="str" cm="1">
        <f t="array" ref="AI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8" s="43" t="b">
        <v>0</v>
      </c>
      <c r="AK298" s="8" t="b">
        <v>0</v>
      </c>
      <c r="BB298"/>
      <c r="BC298"/>
      <c r="BD298"/>
    </row>
    <row r="299" spans="1:56">
      <c r="A299" s="2" t="s">
        <v>3013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5" t="str">
        <f>_xlfn.XLOOKUP(PROPERTIES[[#This Row],[VEHIDCODE]],CONTROL[VEHIDCODE],CONTROL[ENGLISH])</f>
        <v>Stadler UKLight</v>
      </c>
      <c r="F299" t="s">
        <v>642</v>
      </c>
      <c r="G299" s="45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8">
        <v>85</v>
      </c>
      <c r="R299">
        <v>3800</v>
      </c>
      <c r="S299">
        <v>160</v>
      </c>
      <c r="T299" s="25">
        <v>317</v>
      </c>
      <c r="U299" s="24">
        <f>IFERROR(PROPERTIES[[#This Row],[TE_STARTING_KN]]/(PROPERTIES[[#This Row],[WEIGHT]]*9.81),0)</f>
        <v>0.38016429813515618</v>
      </c>
      <c r="V299" s="24">
        <v>0</v>
      </c>
      <c r="W299" s="21">
        <f>ROUND(IF(IFERROR(PROPERTIES[[#This Row],[TE_COEFFICIENT_CALC]],0)=0,PROPERTIES[[#This Row],[TE_COEFFICIENT_MANUAL]],PROPERTIES[[#This Row],[TE_COEFFICIENT_CALC]]),3)</f>
        <v>0.38</v>
      </c>
      <c r="X299" s="9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1">
        <v>0</v>
      </c>
      <c r="Z299" s="7">
        <v>0</v>
      </c>
      <c r="AA299" t="s">
        <v>243</v>
      </c>
      <c r="AB299" t="s">
        <v>238</v>
      </c>
      <c r="AC299" t="s">
        <v>238</v>
      </c>
      <c r="AD299" s="2" t="s">
        <v>238</v>
      </c>
      <c r="AE299" s="2" t="s">
        <v>253</v>
      </c>
      <c r="AF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9" s="2" t="str">
        <f>SUBSTITUTE(SUBSTITUTE(PROPERTIES[[#This Row],[PURCHASECOST_VALUE]], "PURCHASECOST_", ""), "_VALUE", "")</f>
        <v>DIESELENGINE</v>
      </c>
      <c r="AI299" s="7" t="str" cm="1">
        <f t="array" ref="AI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9" s="43" t="b">
        <v>0</v>
      </c>
      <c r="AK299" s="8" t="b">
        <v>0</v>
      </c>
      <c r="BB299"/>
      <c r="BC299"/>
      <c r="BD299"/>
    </row>
    <row r="300" spans="1:56">
      <c r="A300" s="2" t="s">
        <v>3014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5" t="str">
        <f>_xlfn.XLOOKUP(PROPERTIES[[#This Row],[VEHIDCODE]],CONTROL[VEHIDCODE],CONTROL[ENGLISH])</f>
        <v>Siemens Charger ALC-42</v>
      </c>
      <c r="F300" t="s">
        <v>796</v>
      </c>
      <c r="G300" s="45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8">
        <v>120</v>
      </c>
      <c r="R300">
        <v>4200</v>
      </c>
      <c r="S300">
        <v>201</v>
      </c>
      <c r="T300" s="25">
        <v>290</v>
      </c>
      <c r="U300" s="24">
        <f>IFERROR(PROPERTIES[[#This Row],[TE_STARTING_KN]]/(PROPERTIES[[#This Row],[WEIGHT]]*9.81),0)</f>
        <v>0.24634726469588855</v>
      </c>
      <c r="V300" s="24">
        <v>0</v>
      </c>
      <c r="W300" s="21">
        <f>ROUND(IF(IFERROR(PROPERTIES[[#This Row],[TE_COEFFICIENT_CALC]],0)=0,PROPERTIES[[#This Row],[TE_COEFFICIENT_MANUAL]],PROPERTIES[[#This Row],[TE_COEFFICIENT_CALC]]),3)</f>
        <v>0.246</v>
      </c>
      <c r="X300" s="9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1">
        <v>0</v>
      </c>
      <c r="Z300" s="7">
        <v>0</v>
      </c>
      <c r="AA300" t="s">
        <v>244</v>
      </c>
      <c r="AB300" t="s">
        <v>238</v>
      </c>
      <c r="AC300" t="s">
        <v>238</v>
      </c>
      <c r="AD300" s="2" t="s">
        <v>238</v>
      </c>
      <c r="AE300" s="2" t="s">
        <v>253</v>
      </c>
      <c r="AF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300" s="2" t="str">
        <f>SUBSTITUTE(SUBSTITUTE(PROPERTIES[[#This Row],[PURCHASECOST_VALUE]], "PURCHASECOST_", ""), "_VALUE", "")</f>
        <v>DIESELENGINE</v>
      </c>
      <c r="AI300" s="7" t="str" cm="1">
        <f t="array" ref="AI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00" s="43" t="b">
        <v>0</v>
      </c>
      <c r="AK300" s="8" t="b">
        <v>0</v>
      </c>
      <c r="BB300"/>
      <c r="BC300"/>
      <c r="BD300"/>
    </row>
    <row r="301" spans="1:56">
      <c r="A301" s="2" t="s">
        <v>3015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5" t="str">
        <f>_xlfn.XLOOKUP(PROPERTIES[[#This Row],[VEHIDCODE]],CONTROL[VEHIDCODE],CONTROL[ENGLISH])</f>
        <v>Buenos Aires 'Le Brugeoise'</v>
      </c>
      <c r="F301" t="s">
        <v>577</v>
      </c>
      <c r="G301" s="45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8">
        <v>13.5</v>
      </c>
      <c r="R301">
        <v>310</v>
      </c>
      <c r="S301">
        <v>50</v>
      </c>
      <c r="T301" s="25">
        <v>0</v>
      </c>
      <c r="U301" s="24">
        <f>IFERROR(PROPERTIES[[#This Row],[TE_STARTING_KN]]/(PROPERTIES[[#This Row],[WEIGHT]]*9.81),0)</f>
        <v>0</v>
      </c>
      <c r="V301" s="24">
        <v>0.2</v>
      </c>
      <c r="W301" s="21">
        <f>ROUND(IF(IFERROR(PROPERTIES[[#This Row],[TE_COEFFICIENT_CALC]],0)=0,PROPERTIES[[#This Row],[TE_COEFFICIENT_MANUAL]],PROPERTIES[[#This Row],[TE_COEFFICIENT_CALC]]),3)</f>
        <v>0.2</v>
      </c>
      <c r="X301" s="9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1">
        <v>142</v>
      </c>
      <c r="Z301" s="7">
        <v>7</v>
      </c>
      <c r="AA301" t="s">
        <v>246</v>
      </c>
      <c r="AB301" t="s">
        <v>238</v>
      </c>
      <c r="AC301" t="s">
        <v>238</v>
      </c>
      <c r="AD301" s="2" t="s">
        <v>238</v>
      </c>
      <c r="AE301" s="2" t="s">
        <v>253</v>
      </c>
      <c r="AF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1" s="2" t="str">
        <f>SUBSTITUTE(SUBSTITUTE(PROPERTIES[[#This Row],[PURCHASECOST_VALUE]], "PURCHASECOST_", ""), "_VALUE", "")</f>
        <v>METRO</v>
      </c>
      <c r="AI301" s="7" t="str" cm="1">
        <f t="array" ref="AI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1" s="43" t="b">
        <v>0</v>
      </c>
      <c r="AK301" s="8" t="b">
        <v>0</v>
      </c>
      <c r="BB301"/>
      <c r="BC301"/>
      <c r="BD301"/>
    </row>
    <row r="302" spans="1:56">
      <c r="A302" s="2" t="s">
        <v>3016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5" t="str">
        <f>_xlfn.XLOOKUP(PROPERTIES[[#This Row],[VEHIDCODE]],CONTROL[VEHIDCODE],CONTROL[ENGLISH])</f>
        <v>ACF New York R1</v>
      </c>
      <c r="F302" t="s">
        <v>796</v>
      </c>
      <c r="G302" s="45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8">
        <v>42</v>
      </c>
      <c r="R302">
        <v>760</v>
      </c>
      <c r="S302">
        <v>90</v>
      </c>
      <c r="T302" s="25">
        <v>0</v>
      </c>
      <c r="U302" s="24">
        <f>IFERROR(PROPERTIES[[#This Row],[TE_STARTING_KN]]/(PROPERTIES[[#This Row],[WEIGHT]]*9.81),0)</f>
        <v>0</v>
      </c>
      <c r="V302" s="24">
        <v>0.24</v>
      </c>
      <c r="W302" s="21">
        <f>ROUND(IF(IFERROR(PROPERTIES[[#This Row],[TE_COEFFICIENT_CALC]],0)=0,PROPERTIES[[#This Row],[TE_COEFFICIENT_MANUAL]],PROPERTIES[[#This Row],[TE_COEFFICIENT_CALC]]),3)</f>
        <v>0.24</v>
      </c>
      <c r="X302" s="9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1">
        <v>156</v>
      </c>
      <c r="Z302" s="7">
        <v>8</v>
      </c>
      <c r="AA302" t="s">
        <v>244</v>
      </c>
      <c r="AB302" t="s">
        <v>238</v>
      </c>
      <c r="AC302" t="s">
        <v>238</v>
      </c>
      <c r="AD302" s="2" t="s">
        <v>238</v>
      </c>
      <c r="AE302" s="2" t="s">
        <v>253</v>
      </c>
      <c r="AF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2" s="2" t="str">
        <f>SUBSTITUTE(SUBSTITUTE(PROPERTIES[[#This Row],[PURCHASECOST_VALUE]], "PURCHASECOST_", ""), "_VALUE", "")</f>
        <v>METRO</v>
      </c>
      <c r="AI302" s="7" t="str" cm="1">
        <f t="array" ref="AI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2" s="43" t="b">
        <v>0</v>
      </c>
      <c r="AK302" s="8" t="b">
        <v>0</v>
      </c>
      <c r="BB302"/>
      <c r="BC302"/>
      <c r="BD302"/>
    </row>
    <row r="303" spans="1:56">
      <c r="A303" s="2" t="s">
        <v>3017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5" t="str">
        <f>_xlfn.XLOOKUP(PROPERTIES[[#This Row],[VEHIDCODE]],CONTROL[VEHIDCODE],CONTROL[ENGLISH])</f>
        <v>LHB ET 171</v>
      </c>
      <c r="F303" t="s">
        <v>623</v>
      </c>
      <c r="G303" s="45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8">
        <v>48</v>
      </c>
      <c r="R303">
        <v>800</v>
      </c>
      <c r="S303">
        <v>80</v>
      </c>
      <c r="T303" s="25">
        <v>0</v>
      </c>
      <c r="U303" s="24">
        <f>IFERROR(PROPERTIES[[#This Row],[TE_STARTING_KN]]/(PROPERTIES[[#This Row],[WEIGHT]]*9.81),0)</f>
        <v>0</v>
      </c>
      <c r="V303" s="24">
        <v>0.22</v>
      </c>
      <c r="W303" s="21">
        <f>ROUND(IF(IFERROR(PROPERTIES[[#This Row],[TE_COEFFICIENT_CALC]],0)=0,PROPERTIES[[#This Row],[TE_COEFFICIENT_MANUAL]],PROPERTIES[[#This Row],[TE_COEFFICIENT_CALC]]),3)</f>
        <v>0.22</v>
      </c>
      <c r="X303" s="9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1">
        <v>160</v>
      </c>
      <c r="Z303" s="7">
        <v>8</v>
      </c>
      <c r="AA303" t="s">
        <v>239</v>
      </c>
      <c r="AB303" t="s">
        <v>238</v>
      </c>
      <c r="AC303" t="s">
        <v>238</v>
      </c>
      <c r="AD303" s="2" t="s">
        <v>238</v>
      </c>
      <c r="AE303" s="2" t="s">
        <v>253</v>
      </c>
      <c r="AF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3" s="2" t="str">
        <f>SUBSTITUTE(SUBSTITUTE(PROPERTIES[[#This Row],[PURCHASECOST_VALUE]], "PURCHASECOST_", ""), "_VALUE", "")</f>
        <v>METRO</v>
      </c>
      <c r="AI303" s="7" t="str" cm="1">
        <f t="array" ref="AI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3" s="43" t="b">
        <v>0</v>
      </c>
      <c r="AK303" s="8" t="b">
        <v>0</v>
      </c>
      <c r="BB303"/>
      <c r="BC303"/>
      <c r="BD303"/>
    </row>
    <row r="304" spans="1:56">
      <c r="A304" s="2" t="s">
        <v>3018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5" t="str">
        <f>_xlfn.XLOOKUP(PROPERTIES[[#This Row],[VEHIDCODE]],CONTROL[VEHIDCODE],CONTROL[ENGLISH])</f>
        <v>GEC-Alsthom Paris MP55</v>
      </c>
      <c r="F304" t="s">
        <v>641</v>
      </c>
      <c r="G304" s="45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8">
        <v>10</v>
      </c>
      <c r="R304">
        <v>140</v>
      </c>
      <c r="S304">
        <v>45</v>
      </c>
      <c r="T304" s="25">
        <v>0</v>
      </c>
      <c r="U304" s="24">
        <f>IFERROR(PROPERTIES[[#This Row],[TE_STARTING_KN]]/(PROPERTIES[[#This Row],[WEIGHT]]*9.81),0)</f>
        <v>0</v>
      </c>
      <c r="V304" s="24">
        <v>0.18</v>
      </c>
      <c r="W304" s="21">
        <f>ROUND(IF(IFERROR(PROPERTIES[[#This Row],[TE_COEFFICIENT_CALC]],0)=0,PROPERTIES[[#This Row],[TE_COEFFICIENT_MANUAL]],PROPERTIES[[#This Row],[TE_COEFFICIENT_CALC]]),3)</f>
        <v>0.18</v>
      </c>
      <c r="X304" s="9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1">
        <v>140</v>
      </c>
      <c r="Z304" s="7">
        <v>7</v>
      </c>
      <c r="AA304" t="s">
        <v>239</v>
      </c>
      <c r="AB304" t="s">
        <v>238</v>
      </c>
      <c r="AC304" t="s">
        <v>238</v>
      </c>
      <c r="AD304" s="2" t="s">
        <v>238</v>
      </c>
      <c r="AE304" s="2" t="s">
        <v>253</v>
      </c>
      <c r="AF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4" s="2" t="str">
        <f>SUBSTITUTE(SUBSTITUTE(PROPERTIES[[#This Row],[PURCHASECOST_VALUE]], "PURCHASECOST_", ""), "_VALUE", "")</f>
        <v>METRO</v>
      </c>
      <c r="AI304" s="7" t="str" cm="1">
        <f t="array" ref="AI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4" s="43" t="b">
        <v>0</v>
      </c>
      <c r="AK304" s="8" t="b">
        <v>0</v>
      </c>
      <c r="BB304"/>
      <c r="BC304"/>
      <c r="BD304"/>
    </row>
    <row r="305" spans="1:56">
      <c r="A305" s="2" t="s">
        <v>3019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5" t="str">
        <f>_xlfn.XLOOKUP(PROPERTIES[[#This Row],[VEHIDCODE]],CONTROL[VEHIDCODE],CONTROL[ENGLISH])</f>
        <v>LHB Lisbon ML7</v>
      </c>
      <c r="F305" t="s">
        <v>749</v>
      </c>
      <c r="G305" s="45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8">
        <v>19</v>
      </c>
      <c r="R305">
        <v>430</v>
      </c>
      <c r="S305">
        <v>60</v>
      </c>
      <c r="T305" s="25">
        <v>0</v>
      </c>
      <c r="U305" s="24">
        <f>IFERROR(PROPERTIES[[#This Row],[TE_STARTING_KN]]/(PROPERTIES[[#This Row],[WEIGHT]]*9.81),0)</f>
        <v>0</v>
      </c>
      <c r="V305" s="24">
        <v>0.24</v>
      </c>
      <c r="W305" s="21">
        <f>ROUND(IF(IFERROR(PROPERTIES[[#This Row],[TE_COEFFICIENT_CALC]],0)=0,PROPERTIES[[#This Row],[TE_COEFFICIENT_MANUAL]],PROPERTIES[[#This Row],[TE_COEFFICIENT_CALC]]),3)</f>
        <v>0.24</v>
      </c>
      <c r="X305" s="9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1">
        <v>160</v>
      </c>
      <c r="Z305" s="7">
        <v>8</v>
      </c>
      <c r="AA305" t="s">
        <v>240</v>
      </c>
      <c r="AB305" t="s">
        <v>238</v>
      </c>
      <c r="AC305" t="s">
        <v>238</v>
      </c>
      <c r="AD305" s="2" t="s">
        <v>238</v>
      </c>
      <c r="AE305" s="2" t="s">
        <v>253</v>
      </c>
      <c r="AF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5" s="2" t="str">
        <f>SUBSTITUTE(SUBSTITUTE(PROPERTIES[[#This Row],[PURCHASECOST_VALUE]], "PURCHASECOST_", ""), "_VALUE", "")</f>
        <v>METRO</v>
      </c>
      <c r="AI305" s="7" t="str" cm="1">
        <f t="array" ref="AI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5" s="43" t="b">
        <v>0</v>
      </c>
      <c r="AK305" s="8" t="b">
        <v>0</v>
      </c>
      <c r="BB305"/>
      <c r="BC305"/>
      <c r="BD305"/>
    </row>
    <row r="306" spans="1:56">
      <c r="A306" s="2" t="s">
        <v>3020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5" t="str">
        <f>_xlfn.XLOOKUP(PROPERTIES[[#This Row],[VEHIDCODE]],CONTROL[VEHIDCODE],CONTROL[ENGLISH])</f>
        <v>MMZ 81-707 Type Ezsh</v>
      </c>
      <c r="F306" t="s">
        <v>755</v>
      </c>
      <c r="G306" s="45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8">
        <v>32.5</v>
      </c>
      <c r="R306">
        <v>770</v>
      </c>
      <c r="S306">
        <v>90</v>
      </c>
      <c r="T306" s="25">
        <v>0</v>
      </c>
      <c r="U306" s="24">
        <f>IFERROR(PROPERTIES[[#This Row],[TE_STARTING_KN]]/(PROPERTIES[[#This Row],[WEIGHT]]*9.81),0)</f>
        <v>0</v>
      </c>
      <c r="V306" s="24">
        <v>0.25</v>
      </c>
      <c r="W306" s="21">
        <f>ROUND(IF(IFERROR(PROPERTIES[[#This Row],[TE_COEFFICIENT_CALC]],0)=0,PROPERTIES[[#This Row],[TE_COEFFICIENT_MANUAL]],PROPERTIES[[#This Row],[TE_COEFFICIENT_CALC]]),3)</f>
        <v>0.25</v>
      </c>
      <c r="X306" s="9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1">
        <v>150</v>
      </c>
      <c r="Z306" s="7">
        <v>8</v>
      </c>
      <c r="AA306" t="s">
        <v>2013</v>
      </c>
      <c r="AB306" t="s">
        <v>238</v>
      </c>
      <c r="AC306" t="s">
        <v>238</v>
      </c>
      <c r="AD306" s="2" t="s">
        <v>238</v>
      </c>
      <c r="AE306" s="2" t="s">
        <v>253</v>
      </c>
      <c r="AF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6" s="2" t="str">
        <f>SUBSTITUTE(SUBSTITUTE(PROPERTIES[[#This Row],[PURCHASECOST_VALUE]], "PURCHASECOST_", ""), "_VALUE", "")</f>
        <v>METRO</v>
      </c>
      <c r="AI306" s="7" t="str" cm="1">
        <f t="array" ref="AI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6" s="43" t="b">
        <v>0</v>
      </c>
      <c r="AK306" s="8" t="b">
        <v>0</v>
      </c>
      <c r="BB306"/>
      <c r="BC306"/>
      <c r="BD306"/>
    </row>
    <row r="307" spans="1:56">
      <c r="A307" s="2" t="s">
        <v>3021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5" t="str">
        <f>_xlfn.XLOOKUP(PROPERTIES[[#This Row],[VEHIDCODE]],CONTROL[VEHIDCODE],CONTROL[ENGLISH])</f>
        <v>Strommens Oslo T1000</v>
      </c>
      <c r="F307" t="s">
        <v>732</v>
      </c>
      <c r="G307" s="45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8">
        <v>29.7</v>
      </c>
      <c r="R307">
        <v>1050</v>
      </c>
      <c r="S307">
        <v>70</v>
      </c>
      <c r="T307" s="25">
        <v>0</v>
      </c>
      <c r="U307" s="24">
        <f>IFERROR(PROPERTIES[[#This Row],[TE_STARTING_KN]]/(PROPERTIES[[#This Row],[WEIGHT]]*9.81),0)</f>
        <v>0</v>
      </c>
      <c r="V307" s="24">
        <v>0.25</v>
      </c>
      <c r="W307" s="21">
        <f>ROUND(IF(IFERROR(PROPERTIES[[#This Row],[TE_COEFFICIENT_CALC]],0)=0,PROPERTIES[[#This Row],[TE_COEFFICIENT_MANUAL]],PROPERTIES[[#This Row],[TE_COEFFICIENT_CALC]]),3)</f>
        <v>0.25</v>
      </c>
      <c r="X307" s="9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1">
        <v>180</v>
      </c>
      <c r="Z307" s="7">
        <v>7</v>
      </c>
      <c r="AA307" t="s">
        <v>243</v>
      </c>
      <c r="AB307" t="s">
        <v>238</v>
      </c>
      <c r="AC307" t="s">
        <v>238</v>
      </c>
      <c r="AD307" s="2" t="s">
        <v>238</v>
      </c>
      <c r="AE307" s="2" t="s">
        <v>253</v>
      </c>
      <c r="AF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7" s="2" t="str">
        <f>SUBSTITUTE(SUBSTITUTE(PROPERTIES[[#This Row],[PURCHASECOST_VALUE]], "PURCHASECOST_", ""), "_VALUE", "")</f>
        <v>METRO</v>
      </c>
      <c r="AI307" s="7" t="str" cm="1">
        <f t="array" ref="AI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7" s="43" t="b">
        <v>0</v>
      </c>
      <c r="AK307" s="8" t="b">
        <v>0</v>
      </c>
      <c r="BB307"/>
      <c r="BC307"/>
      <c r="BD307"/>
    </row>
    <row r="308" spans="1:56">
      <c r="A308" s="2" t="s">
        <v>3022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5" t="str">
        <f>_xlfn.XLOOKUP(PROPERTIES[[#This Row],[VEHIDCODE]],CONTROL[VEHIDCODE],CONTROL[ENGLISH])</f>
        <v>Hawker Siddeley Toronto H1</v>
      </c>
      <c r="F308" t="s">
        <v>604</v>
      </c>
      <c r="G308" s="45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8">
        <v>27.5</v>
      </c>
      <c r="R308">
        <v>960</v>
      </c>
      <c r="S308">
        <v>80</v>
      </c>
      <c r="T308" s="25">
        <v>0</v>
      </c>
      <c r="U308" s="24">
        <f>IFERROR(PROPERTIES[[#This Row],[TE_STARTING_KN]]/(PROPERTIES[[#This Row],[WEIGHT]]*9.81),0)</f>
        <v>0</v>
      </c>
      <c r="V308" s="24">
        <v>0.25</v>
      </c>
      <c r="W308" s="21">
        <f>ROUND(IF(IFERROR(PROPERTIES[[#This Row],[TE_COEFFICIENT_CALC]],0)=0,PROPERTIES[[#This Row],[TE_COEFFICIENT_MANUAL]],PROPERTIES[[#This Row],[TE_COEFFICIENT_CALC]]),3)</f>
        <v>0.25</v>
      </c>
      <c r="X308" s="9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1">
        <v>210</v>
      </c>
      <c r="Z308" s="7">
        <v>8</v>
      </c>
      <c r="AA308" t="s">
        <v>244</v>
      </c>
      <c r="AB308" t="s">
        <v>238</v>
      </c>
      <c r="AC308" t="s">
        <v>238</v>
      </c>
      <c r="AD308" s="2" t="s">
        <v>238</v>
      </c>
      <c r="AE308" s="2" t="s">
        <v>253</v>
      </c>
      <c r="AF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8" s="2" t="str">
        <f>SUBSTITUTE(SUBSTITUTE(PROPERTIES[[#This Row],[PURCHASECOST_VALUE]], "PURCHASECOST_", ""), "_VALUE", "")</f>
        <v>METRO</v>
      </c>
      <c r="AI308" s="7" t="str" cm="1">
        <f t="array" ref="AI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8" s="43" t="b">
        <v>0</v>
      </c>
      <c r="AK308" s="8" t="b">
        <v>0</v>
      </c>
      <c r="BB308"/>
      <c r="BC308"/>
      <c r="BD308"/>
    </row>
    <row r="309" spans="1:56">
      <c r="A309" s="2" t="s">
        <v>3023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5" t="str">
        <f>_xlfn.XLOOKUP(PROPERTIES[[#This Row],[VEHIDCODE]],CONTROL[VEHIDCODE],CONTROL[ENGLISH])</f>
        <v>MAN Munchen MVG A2</v>
      </c>
      <c r="F309" t="s">
        <v>623</v>
      </c>
      <c r="G309" s="45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8">
        <v>25.8</v>
      </c>
      <c r="R309">
        <v>965</v>
      </c>
      <c r="S309">
        <v>80</v>
      </c>
      <c r="T309" s="25">
        <v>0</v>
      </c>
      <c r="U309" s="24">
        <f>IFERROR(PROPERTIES[[#This Row],[TE_STARTING_KN]]/(PROPERTIES[[#This Row],[WEIGHT]]*9.81),0)</f>
        <v>0</v>
      </c>
      <c r="V309" s="24">
        <v>0.26</v>
      </c>
      <c r="W309" s="21">
        <f>ROUND(IF(IFERROR(PROPERTIES[[#This Row],[TE_COEFFICIENT_CALC]],0)=0,PROPERTIES[[#This Row],[TE_COEFFICIENT_MANUAL]],PROPERTIES[[#This Row],[TE_COEFFICIENT_CALC]]),3)</f>
        <v>0.26</v>
      </c>
      <c r="X309" s="9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1">
        <v>195</v>
      </c>
      <c r="Z309" s="7">
        <v>8</v>
      </c>
      <c r="AA309" t="s">
        <v>239</v>
      </c>
      <c r="AB309" t="s">
        <v>238</v>
      </c>
      <c r="AC309" t="s">
        <v>238</v>
      </c>
      <c r="AD309" s="2" t="s">
        <v>238</v>
      </c>
      <c r="AE309" s="2" t="s">
        <v>253</v>
      </c>
      <c r="AF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9" s="2" t="str">
        <f>SUBSTITUTE(SUBSTITUTE(PROPERTIES[[#This Row],[PURCHASECOST_VALUE]], "PURCHASECOST_", ""), "_VALUE", "")</f>
        <v>METRO</v>
      </c>
      <c r="AI309" s="7" t="str" cm="1">
        <f t="array" ref="AI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9" s="43" t="b">
        <v>0</v>
      </c>
      <c r="AK309" s="8" t="b">
        <v>0</v>
      </c>
      <c r="BB309"/>
      <c r="BC309"/>
      <c r="BD309"/>
    </row>
    <row r="310" spans="1:56">
      <c r="A310" s="2" t="s">
        <v>3024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5" t="str">
        <f>_xlfn.XLOOKUP(PROPERTIES[[#This Row],[VEHIDCODE]],CONTROL[VEHIDCODE],CONTROL[ENGLISH])</f>
        <v>St. Louis Car Co New York R44</v>
      </c>
      <c r="F310" t="s">
        <v>796</v>
      </c>
      <c r="G310" s="45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8">
        <v>37</v>
      </c>
      <c r="R310">
        <v>920</v>
      </c>
      <c r="S310">
        <v>110</v>
      </c>
      <c r="T310" s="25">
        <v>0</v>
      </c>
      <c r="U310" s="24">
        <f>IFERROR(PROPERTIES[[#This Row],[TE_STARTING_KN]]/(PROPERTIES[[#This Row],[WEIGHT]]*9.81),0)</f>
        <v>0</v>
      </c>
      <c r="V310" s="24">
        <v>0.26</v>
      </c>
      <c r="W310" s="21">
        <f>ROUND(IF(IFERROR(PROPERTIES[[#This Row],[TE_COEFFICIENT_CALC]],0)=0,PROPERTIES[[#This Row],[TE_COEFFICIENT_MANUAL]],PROPERTIES[[#This Row],[TE_COEFFICIENT_CALC]]),3)</f>
        <v>0.26</v>
      </c>
      <c r="X310" s="9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1">
        <v>162</v>
      </c>
      <c r="Z310" s="7">
        <v>8</v>
      </c>
      <c r="AA310" t="s">
        <v>244</v>
      </c>
      <c r="AB310" t="s">
        <v>238</v>
      </c>
      <c r="AC310" t="s">
        <v>238</v>
      </c>
      <c r="AD310" s="2" t="s">
        <v>238</v>
      </c>
      <c r="AE310" s="2" t="s">
        <v>253</v>
      </c>
      <c r="AF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0" s="2" t="str">
        <f>SUBSTITUTE(SUBSTITUTE(PROPERTIES[[#This Row],[PURCHASECOST_VALUE]], "PURCHASECOST_", ""), "_VALUE", "")</f>
        <v>METRO</v>
      </c>
      <c r="AI310" s="7" t="str" cm="1">
        <f t="array" ref="AI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0" s="43" t="b">
        <v>0</v>
      </c>
      <c r="AK310" s="8" t="b">
        <v>0</v>
      </c>
      <c r="BB310"/>
      <c r="BC310"/>
      <c r="BD310"/>
    </row>
    <row r="311" spans="1:56">
      <c r="A311" s="2" t="s">
        <v>3025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5" t="str">
        <f>_xlfn.XLOOKUP(PROPERTIES[[#This Row],[VEHIDCODE]],CONTROL[VEHIDCODE],CONTROL[ENGLISH])</f>
        <v>LHB Amsterdam M1</v>
      </c>
      <c r="F311" t="s">
        <v>731</v>
      </c>
      <c r="G311" s="45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8">
        <v>27</v>
      </c>
      <c r="R311">
        <v>1050</v>
      </c>
      <c r="S311">
        <v>80</v>
      </c>
      <c r="T311" s="25">
        <v>0</v>
      </c>
      <c r="U311" s="24">
        <f>IFERROR(PROPERTIES[[#This Row],[TE_STARTING_KN]]/(PROPERTIES[[#This Row],[WEIGHT]]*9.81),0)</f>
        <v>0</v>
      </c>
      <c r="V311" s="24">
        <v>0.26</v>
      </c>
      <c r="W311" s="21">
        <f>ROUND(IF(IFERROR(PROPERTIES[[#This Row],[TE_COEFFICIENT_CALC]],0)=0,PROPERTIES[[#This Row],[TE_COEFFICIENT_MANUAL]],PROPERTIES[[#This Row],[TE_COEFFICIENT_CALC]]),3)</f>
        <v>0.26</v>
      </c>
      <c r="X311" s="9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1">
        <v>174</v>
      </c>
      <c r="Z311" s="7">
        <v>7</v>
      </c>
      <c r="AA311" t="s">
        <v>239</v>
      </c>
      <c r="AB311" t="s">
        <v>238</v>
      </c>
      <c r="AC311" t="s">
        <v>238</v>
      </c>
      <c r="AD311" s="2" t="s">
        <v>238</v>
      </c>
      <c r="AE311" s="2" t="s">
        <v>253</v>
      </c>
      <c r="AF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1" s="2" t="str">
        <f>SUBSTITUTE(SUBSTITUTE(PROPERTIES[[#This Row],[PURCHASECOST_VALUE]], "PURCHASECOST_", ""), "_VALUE", "")</f>
        <v>METRO</v>
      </c>
      <c r="AI311" s="7" t="str" cm="1">
        <f t="array" ref="AI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1" s="43" t="b">
        <v>0</v>
      </c>
      <c r="AK311" s="8" t="b">
        <v>0</v>
      </c>
      <c r="BB311"/>
      <c r="BC311"/>
      <c r="BD311"/>
    </row>
    <row r="312" spans="1:56">
      <c r="A312" s="2" t="s">
        <v>3026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5" t="str">
        <f>_xlfn.XLOOKUP(PROPERTIES[[#This Row],[VEHIDCODE]],CONTROL[VEHIDCODE],CONTROL[ENGLISH])</f>
        <v>ASEA Stockholm C8</v>
      </c>
      <c r="F312" t="s">
        <v>761</v>
      </c>
      <c r="G312" s="45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8">
        <v>23.5</v>
      </c>
      <c r="R312">
        <v>860</v>
      </c>
      <c r="S312">
        <v>90</v>
      </c>
      <c r="T312" s="25">
        <v>0</v>
      </c>
      <c r="U312" s="24">
        <f>IFERROR(PROPERTIES[[#This Row],[TE_STARTING_KN]]/(PROPERTIES[[#This Row],[WEIGHT]]*9.81),0)</f>
        <v>0</v>
      </c>
      <c r="V312" s="24">
        <v>0.27</v>
      </c>
      <c r="W312" s="21">
        <f>ROUND(IF(IFERROR(PROPERTIES[[#This Row],[TE_COEFFICIENT_CALC]],0)=0,PROPERTIES[[#This Row],[TE_COEFFICIENT_MANUAL]],PROPERTIES[[#This Row],[TE_COEFFICIENT_CALC]]),3)</f>
        <v>0.27</v>
      </c>
      <c r="X312" s="9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1">
        <v>158</v>
      </c>
      <c r="Z312" s="7">
        <v>8</v>
      </c>
      <c r="AA312" t="s">
        <v>243</v>
      </c>
      <c r="AB312" t="s">
        <v>238</v>
      </c>
      <c r="AC312" t="s">
        <v>238</v>
      </c>
      <c r="AD312" s="2" t="s">
        <v>238</v>
      </c>
      <c r="AE312" s="2" t="s">
        <v>253</v>
      </c>
      <c r="AF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2" s="2" t="str">
        <f>SUBSTITUTE(SUBSTITUTE(PROPERTIES[[#This Row],[PURCHASECOST_VALUE]], "PURCHASECOST_", ""), "_VALUE", "")</f>
        <v>METRO</v>
      </c>
      <c r="AI312" s="7" t="str" cm="1">
        <f t="array" ref="AI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2" s="43" t="b">
        <v>0</v>
      </c>
      <c r="AK312" s="8" t="b">
        <v>0</v>
      </c>
      <c r="BB312"/>
      <c r="BC312"/>
      <c r="BD312"/>
    </row>
    <row r="313" spans="1:56">
      <c r="A313" s="2" t="s">
        <v>3027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5" t="str">
        <f>_xlfn.XLOOKUP(PROPERTIES[[#This Row],[VEHIDCODE]],CONTROL[VEHIDCODE],CONTROL[ENGLISH])</f>
        <v>AEG D</v>
      </c>
      <c r="F313" t="s">
        <v>813</v>
      </c>
      <c r="G313" s="45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8">
        <v>28.5</v>
      </c>
      <c r="R313">
        <v>800</v>
      </c>
      <c r="S313">
        <v>70</v>
      </c>
      <c r="T313" s="25">
        <v>0</v>
      </c>
      <c r="U313" s="24">
        <f>IFERROR(PROPERTIES[[#This Row],[TE_STARTING_KN]]/(PROPERTIES[[#This Row],[WEIGHT]]*9.81),0)</f>
        <v>0</v>
      </c>
      <c r="V313" s="24">
        <v>0.23</v>
      </c>
      <c r="W313" s="21">
        <f>ROUND(IF(IFERROR(PROPERTIES[[#This Row],[TE_COEFFICIENT_CALC]],0)=0,PROPERTIES[[#This Row],[TE_COEFFICIENT_MANUAL]],PROPERTIES[[#This Row],[TE_COEFFICIENT_CALC]]),3)</f>
        <v>0.23</v>
      </c>
      <c r="X313" s="9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313" s="31">
        <v>180</v>
      </c>
      <c r="Z313" s="7">
        <v>8</v>
      </c>
      <c r="AA313" t="s">
        <v>239</v>
      </c>
      <c r="AB313" t="s">
        <v>247</v>
      </c>
      <c r="AC313" t="s">
        <v>238</v>
      </c>
      <c r="AD313" s="2" t="s">
        <v>238</v>
      </c>
      <c r="AE313" s="2" t="s">
        <v>253</v>
      </c>
      <c r="AF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3" s="2" t="str">
        <f>SUBSTITUTE(SUBSTITUTE(PROPERTIES[[#This Row],[PURCHASECOST_VALUE]], "PURCHASECOST_", ""), "_VALUE", "")</f>
        <v>METRO</v>
      </c>
      <c r="AI313" s="7" t="str" cm="1">
        <f t="array" ref="AI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3" s="43" t="b">
        <v>0</v>
      </c>
      <c r="AK313" s="8" t="b">
        <v>0</v>
      </c>
      <c r="BB313"/>
      <c r="BC313"/>
      <c r="BD313"/>
    </row>
    <row r="314" spans="1:56">
      <c r="A314" s="2" t="s">
        <v>3028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5" t="str">
        <f>_xlfn.XLOOKUP(PROPERTIES[[#This Row],[VEHIDCODE]],CONTROL[VEHIDCODE],CONTROL[ENGLISH])</f>
        <v>Valmet Helsinki M100</v>
      </c>
      <c r="F314" t="s">
        <v>636</v>
      </c>
      <c r="G314" s="45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8">
        <v>30.8</v>
      </c>
      <c r="R314">
        <v>1340</v>
      </c>
      <c r="S314">
        <v>90</v>
      </c>
      <c r="T314" s="25">
        <v>0</v>
      </c>
      <c r="U314" s="24">
        <f>IFERROR(PROPERTIES[[#This Row],[TE_STARTING_KN]]/(PROPERTIES[[#This Row],[WEIGHT]]*9.81),0)</f>
        <v>0</v>
      </c>
      <c r="V314" s="24">
        <v>0.3</v>
      </c>
      <c r="W314" s="21">
        <f>ROUND(IF(IFERROR(PROPERTIES[[#This Row],[TE_COEFFICIENT_CALC]],0)=0,PROPERTIES[[#This Row],[TE_COEFFICIENT_MANUAL]],PROPERTIES[[#This Row],[TE_COEFFICIENT_CALC]]),3)</f>
        <v>0.3</v>
      </c>
      <c r="X314" s="9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1">
        <v>165</v>
      </c>
      <c r="Z314" s="7">
        <v>8</v>
      </c>
      <c r="AA314" t="s">
        <v>243</v>
      </c>
      <c r="AB314" t="s">
        <v>238</v>
      </c>
      <c r="AC314" t="s">
        <v>238</v>
      </c>
      <c r="AD314" s="2" t="s">
        <v>238</v>
      </c>
      <c r="AE314" s="2" t="s">
        <v>253</v>
      </c>
      <c r="AF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4" s="2" t="str">
        <f>SUBSTITUTE(SUBSTITUTE(PROPERTIES[[#This Row],[PURCHASECOST_VALUE]], "PURCHASECOST_", ""), "_VALUE", "")</f>
        <v>METRO</v>
      </c>
      <c r="AI314" s="7" t="str" cm="1">
        <f t="array" ref="AI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4" s="43" t="b">
        <v>0</v>
      </c>
      <c r="AK314" s="8" t="b">
        <v>0</v>
      </c>
      <c r="BB314"/>
      <c r="BC314"/>
      <c r="BD314"/>
    </row>
    <row r="315" spans="1:56">
      <c r="A315" s="2" t="s">
        <v>3029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5" t="str">
        <f>_xlfn.XLOOKUP(PROPERTIES[[#This Row],[VEHIDCODE]],CONTROL[VEHIDCODE],CONTROL[ENGLISH])</f>
        <v>Sorefame Sao Paulo Serie 5500</v>
      </c>
      <c r="F315" t="s">
        <v>597</v>
      </c>
      <c r="G315" s="45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8">
        <v>52</v>
      </c>
      <c r="R315">
        <v>1530</v>
      </c>
      <c r="S315">
        <v>100</v>
      </c>
      <c r="T315" s="25">
        <v>0</v>
      </c>
      <c r="U315" s="24">
        <f>IFERROR(PROPERTIES[[#This Row],[TE_STARTING_KN]]/(PROPERTIES[[#This Row],[WEIGHT]]*9.81),0)</f>
        <v>0</v>
      </c>
      <c r="V315" s="24">
        <v>0.25</v>
      </c>
      <c r="W315" s="21">
        <f>ROUND(IF(IFERROR(PROPERTIES[[#This Row],[TE_COEFFICIENT_CALC]],0)=0,PROPERTIES[[#This Row],[TE_COEFFICIENT_MANUAL]],PROPERTIES[[#This Row],[TE_COEFFICIENT_CALC]]),3)</f>
        <v>0.25</v>
      </c>
      <c r="X315" s="9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1">
        <v>230</v>
      </c>
      <c r="Z315" s="7">
        <v>8</v>
      </c>
      <c r="AA315" t="s">
        <v>246</v>
      </c>
      <c r="AB315" t="s">
        <v>238</v>
      </c>
      <c r="AC315" t="s">
        <v>238</v>
      </c>
      <c r="AD315" s="2" t="s">
        <v>238</v>
      </c>
      <c r="AE315" s="2" t="s">
        <v>253</v>
      </c>
      <c r="AF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5" s="2" t="str">
        <f>SUBSTITUTE(SUBSTITUTE(PROPERTIES[[#This Row],[PURCHASECOST_VALUE]], "PURCHASECOST_", ""), "_VALUE", "")</f>
        <v>METRO</v>
      </c>
      <c r="AI315" s="7" t="str" cm="1">
        <f t="array" ref="AI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5" s="43" t="b">
        <v>0</v>
      </c>
      <c r="AK315" s="8" t="b">
        <v>0</v>
      </c>
      <c r="BB315"/>
      <c r="BC315"/>
      <c r="BD315"/>
    </row>
    <row r="316" spans="1:56">
      <c r="A316" s="2" t="s">
        <v>3030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5" t="str">
        <f>_xlfn.XLOOKUP(PROPERTIES[[#This Row],[VEHIDCODE]],CONTROL[VEHIDCODE],CONTROL[ENGLISH])</f>
        <v>MMZ 81-720</v>
      </c>
      <c r="F316" t="s">
        <v>755</v>
      </c>
      <c r="G316" s="45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8">
        <v>36</v>
      </c>
      <c r="R316">
        <v>1115</v>
      </c>
      <c r="S316">
        <v>100</v>
      </c>
      <c r="T316" s="25">
        <v>0</v>
      </c>
      <c r="U316" s="24">
        <f>IFERROR(PROPERTIES[[#This Row],[TE_STARTING_KN]]/(PROPERTIES[[#This Row],[WEIGHT]]*9.81),0)</f>
        <v>0</v>
      </c>
      <c r="V316" s="24">
        <v>0.3</v>
      </c>
      <c r="W316" s="21">
        <f>ROUND(IF(IFERROR(PROPERTIES[[#This Row],[TE_COEFFICIENT_CALC]],0)=0,PROPERTIES[[#This Row],[TE_COEFFICIENT_MANUAL]],PROPERTIES[[#This Row],[TE_COEFFICIENT_CALC]]),3)</f>
        <v>0.3</v>
      </c>
      <c r="X316" s="9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1">
        <v>144</v>
      </c>
      <c r="Z316" s="7">
        <v>8</v>
      </c>
      <c r="AA316" t="s">
        <v>2013</v>
      </c>
      <c r="AB316" t="s">
        <v>238</v>
      </c>
      <c r="AC316" t="s">
        <v>238</v>
      </c>
      <c r="AD316" s="2" t="s">
        <v>238</v>
      </c>
      <c r="AE316" s="2" t="s">
        <v>253</v>
      </c>
      <c r="AF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6" s="2" t="str">
        <f>SUBSTITUTE(SUBSTITUTE(PROPERTIES[[#This Row],[PURCHASECOST_VALUE]], "PURCHASECOST_", ""), "_VALUE", "")</f>
        <v>METRO</v>
      </c>
      <c r="AI316" s="7" t="str" cm="1">
        <f t="array" ref="AI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6" s="43" t="b">
        <v>0</v>
      </c>
      <c r="AK316" s="8" t="b">
        <v>0</v>
      </c>
      <c r="BB316"/>
      <c r="BC316"/>
      <c r="BD316"/>
    </row>
    <row r="317" spans="1:56">
      <c r="A317" s="2" t="s">
        <v>3031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5" t="str">
        <f>_xlfn.XLOOKUP(PROPERTIES[[#This Row],[VEHIDCODE]],CONTROL[VEHIDCODE],CONTROL[ENGLISH])</f>
        <v>Kawasaki Tokyo S01</v>
      </c>
      <c r="F317" t="s">
        <v>679</v>
      </c>
      <c r="G317" s="45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8">
        <v>23.5</v>
      </c>
      <c r="R317">
        <v>640</v>
      </c>
      <c r="S317">
        <v>80</v>
      </c>
      <c r="T317" s="25">
        <v>0</v>
      </c>
      <c r="U317" s="24">
        <f>IFERROR(PROPERTIES[[#This Row],[TE_STARTING_KN]]/(PROPERTIES[[#This Row],[WEIGHT]]*9.81),0)</f>
        <v>0</v>
      </c>
      <c r="V317" s="24">
        <v>0.28000000000000003</v>
      </c>
      <c r="W317" s="21">
        <f>ROUND(IF(IFERROR(PROPERTIES[[#This Row],[TE_COEFFICIENT_CALC]],0)=0,PROPERTIES[[#This Row],[TE_COEFFICIENT_MANUAL]],PROPERTIES[[#This Row],[TE_COEFFICIENT_CALC]]),3)</f>
        <v>0.28000000000000003</v>
      </c>
      <c r="X317" s="9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1">
        <v>120</v>
      </c>
      <c r="Z317" s="7">
        <v>8</v>
      </c>
      <c r="AA317" t="s">
        <v>247</v>
      </c>
      <c r="AB317" t="s">
        <v>238</v>
      </c>
      <c r="AC317" t="s">
        <v>238</v>
      </c>
      <c r="AD317" s="2" t="s">
        <v>238</v>
      </c>
      <c r="AE317" s="2" t="s">
        <v>253</v>
      </c>
      <c r="AF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7" s="2" t="str">
        <f>SUBSTITUTE(SUBSTITUTE(PROPERTIES[[#This Row],[PURCHASECOST_VALUE]], "PURCHASECOST_", ""), "_VALUE", "")</f>
        <v>METRO</v>
      </c>
      <c r="AI317" s="7" t="str" cm="1">
        <f t="array" ref="AI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7" s="43" t="b">
        <v>0</v>
      </c>
      <c r="AK317" s="8" t="b">
        <v>0</v>
      </c>
      <c r="BB317"/>
      <c r="BC317"/>
      <c r="BD317"/>
    </row>
    <row r="318" spans="1:56">
      <c r="A318" s="2" t="s">
        <v>3032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5" t="str">
        <f>_xlfn.XLOOKUP(PROPERTIES[[#This Row],[VEHIDCODE]],CONTROL[VEHIDCODE],CONTROL[ENGLISH])</f>
        <v>Kinki Sharyo Vcairo</v>
      </c>
      <c r="F318" t="s">
        <v>631</v>
      </c>
      <c r="G318" s="45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8">
        <v>37.5</v>
      </c>
      <c r="R318">
        <v>1450</v>
      </c>
      <c r="S318">
        <v>100</v>
      </c>
      <c r="T318" s="25">
        <v>0</v>
      </c>
      <c r="U318" s="24">
        <f>IFERROR(PROPERTIES[[#This Row],[TE_STARTING_KN]]/(PROPERTIES[[#This Row],[WEIGHT]]*9.81),0)</f>
        <v>0</v>
      </c>
      <c r="V318" s="24">
        <v>0.26</v>
      </c>
      <c r="W318" s="21">
        <f>ROUND(IF(IFERROR(PROPERTIES[[#This Row],[TE_COEFFICIENT_CALC]],0)=0,PROPERTIES[[#This Row],[TE_COEFFICIENT_MANUAL]],PROPERTIES[[#This Row],[TE_COEFFICIENT_CALC]]),3)</f>
        <v>0.26</v>
      </c>
      <c r="X318" s="9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1">
        <v>250</v>
      </c>
      <c r="Z318" s="7">
        <v>8</v>
      </c>
      <c r="AA318" t="s">
        <v>242</v>
      </c>
      <c r="AB318" t="s">
        <v>238</v>
      </c>
      <c r="AC318" t="s">
        <v>238</v>
      </c>
      <c r="AD318" s="2" t="s">
        <v>238</v>
      </c>
      <c r="AE318" s="2" t="s">
        <v>253</v>
      </c>
      <c r="AF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8" s="2" t="str">
        <f>SUBSTITUTE(SUBSTITUTE(PROPERTIES[[#This Row],[PURCHASECOST_VALUE]], "PURCHASECOST_", ""), "_VALUE", "")</f>
        <v>METRO</v>
      </c>
      <c r="AI318" s="7" t="str" cm="1">
        <f t="array" ref="AI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8" s="43" t="b">
        <v>0</v>
      </c>
      <c r="AK318" s="8" t="b">
        <v>0</v>
      </c>
      <c r="BB318"/>
      <c r="BC318"/>
      <c r="BD318"/>
    </row>
    <row r="319" spans="1:56">
      <c r="A319" s="2" t="s">
        <v>3033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5" t="str">
        <f>_xlfn.XLOOKUP(PROPERTIES[[#This Row],[VEHIDCODE]],CONTROL[VEHIDCODE],CONTROL[ENGLISH])</f>
        <v>LHB London DLR P86</v>
      </c>
      <c r="F319" t="s">
        <v>642</v>
      </c>
      <c r="G319" s="45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8">
        <v>33</v>
      </c>
      <c r="R319">
        <v>640</v>
      </c>
      <c r="S319">
        <v>80</v>
      </c>
      <c r="T319" s="25">
        <v>0</v>
      </c>
      <c r="U319" s="24">
        <f>IFERROR(PROPERTIES[[#This Row],[TE_STARTING_KN]]/(PROPERTIES[[#This Row],[WEIGHT]]*9.81),0)</f>
        <v>0</v>
      </c>
      <c r="V319" s="24">
        <v>0.25</v>
      </c>
      <c r="W319" s="21">
        <f>ROUND(IF(IFERROR(PROPERTIES[[#This Row],[TE_COEFFICIENT_CALC]],0)=0,PROPERTIES[[#This Row],[TE_COEFFICIENT_MANUAL]],PROPERTIES[[#This Row],[TE_COEFFICIENT_CALC]]),3)</f>
        <v>0.25</v>
      </c>
      <c r="X319" s="9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1">
        <v>200</v>
      </c>
      <c r="Z319" s="7">
        <v>6</v>
      </c>
      <c r="AA319" t="s">
        <v>243</v>
      </c>
      <c r="AB319" t="s">
        <v>238</v>
      </c>
      <c r="AC319" t="s">
        <v>238</v>
      </c>
      <c r="AD319" s="2" t="s">
        <v>238</v>
      </c>
      <c r="AE319" s="2" t="s">
        <v>253</v>
      </c>
      <c r="AF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9" s="2" t="str">
        <f>SUBSTITUTE(SUBSTITUTE(PROPERTIES[[#This Row],[PURCHASECOST_VALUE]], "PURCHASECOST_", ""), "_VALUE", "")</f>
        <v>METRO</v>
      </c>
      <c r="AI319" s="7" t="str" cm="1">
        <f t="array" ref="AI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9" s="43" t="b">
        <v>0</v>
      </c>
      <c r="AK319" s="8" t="b">
        <v>0</v>
      </c>
      <c r="BB319"/>
      <c r="BC319"/>
      <c r="BD319"/>
    </row>
    <row r="320" spans="1:56">
      <c r="A320" s="2" t="s">
        <v>3034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5" t="str">
        <f>_xlfn.XLOOKUP(PROPERTIES[[#This Row],[VEHIDCODE]],CONTROL[VEHIDCODE],CONTROL[ENGLISH])</f>
        <v>MMZ 81-717.5M</v>
      </c>
      <c r="F320" t="s">
        <v>755</v>
      </c>
      <c r="G320" s="45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8">
        <v>34</v>
      </c>
      <c r="R320">
        <v>1180</v>
      </c>
      <c r="S320">
        <v>90</v>
      </c>
      <c r="T320" s="25">
        <v>0</v>
      </c>
      <c r="U320" s="24">
        <f>IFERROR(PROPERTIES[[#This Row],[TE_STARTING_KN]]/(PROPERTIES[[#This Row],[WEIGHT]]*9.81),0)</f>
        <v>0</v>
      </c>
      <c r="V320" s="24">
        <v>0.27</v>
      </c>
      <c r="W320" s="21">
        <f>ROUND(IF(IFERROR(PROPERTIES[[#This Row],[TE_COEFFICIENT_CALC]],0)=0,PROPERTIES[[#This Row],[TE_COEFFICIENT_MANUAL]],PROPERTIES[[#This Row],[TE_COEFFICIENT_CALC]]),3)</f>
        <v>0.27</v>
      </c>
      <c r="X320" s="9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1">
        <v>147</v>
      </c>
      <c r="Z320" s="7">
        <v>8</v>
      </c>
      <c r="AA320" t="s">
        <v>2013</v>
      </c>
      <c r="AB320" t="s">
        <v>238</v>
      </c>
      <c r="AC320" t="s">
        <v>238</v>
      </c>
      <c r="AD320" s="2" t="s">
        <v>238</v>
      </c>
      <c r="AE320" s="2" t="s">
        <v>253</v>
      </c>
      <c r="AF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0" s="2" t="str">
        <f>SUBSTITUTE(SUBSTITUTE(PROPERTIES[[#This Row],[PURCHASECOST_VALUE]], "PURCHASECOST_", ""), "_VALUE", "")</f>
        <v>METRO</v>
      </c>
      <c r="AI320" s="7" t="str" cm="1">
        <f t="array" ref="AI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0" s="43" t="b">
        <v>0</v>
      </c>
      <c r="AK320" s="8" t="b">
        <v>0</v>
      </c>
      <c r="BB320"/>
      <c r="BC320"/>
      <c r="BD320"/>
    </row>
    <row r="321" spans="1:56">
      <c r="A321" s="2" t="s">
        <v>3035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5" t="str">
        <f>_xlfn.XLOOKUP(PROPERTIES[[#This Row],[VEHIDCODE]],CONTROL[VEHIDCODE],CONTROL[ENGLISH])</f>
        <v>Bombardier Boston 01800</v>
      </c>
      <c r="F321" t="s">
        <v>796</v>
      </c>
      <c r="G321" s="45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8">
        <v>36.5</v>
      </c>
      <c r="R321">
        <v>910</v>
      </c>
      <c r="S321">
        <v>80</v>
      </c>
      <c r="T321" s="25">
        <v>0</v>
      </c>
      <c r="U321" s="24">
        <f>IFERROR(PROPERTIES[[#This Row],[TE_STARTING_KN]]/(PROPERTIES[[#This Row],[WEIGHT]]*9.81),0)</f>
        <v>0</v>
      </c>
      <c r="V321" s="24">
        <v>0.26</v>
      </c>
      <c r="W321" s="21">
        <f>ROUND(IF(IFERROR(PROPERTIES[[#This Row],[TE_COEFFICIENT_CALC]],0)=0,PROPERTIES[[#This Row],[TE_COEFFICIENT_MANUAL]],PROPERTIES[[#This Row],[TE_COEFFICIENT_CALC]]),3)</f>
        <v>0.26</v>
      </c>
      <c r="X321" s="9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1">
        <v>150</v>
      </c>
      <c r="Z321" s="7">
        <v>8</v>
      </c>
      <c r="AA321" t="s">
        <v>244</v>
      </c>
      <c r="AB321" t="s">
        <v>238</v>
      </c>
      <c r="AC321" t="s">
        <v>238</v>
      </c>
      <c r="AD321" s="2" t="s">
        <v>238</v>
      </c>
      <c r="AE321" s="2" t="s">
        <v>253</v>
      </c>
      <c r="AF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1" s="2" t="str">
        <f>SUBSTITUTE(SUBSTITUTE(PROPERTIES[[#This Row],[PURCHASECOST_VALUE]], "PURCHASECOST_", ""), "_VALUE", "")</f>
        <v>METRO</v>
      </c>
      <c r="AI321" s="7" t="str" cm="1">
        <f t="array" ref="AI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1" s="43" t="b">
        <v>0</v>
      </c>
      <c r="AK321" s="8" t="b">
        <v>0</v>
      </c>
      <c r="BB321"/>
      <c r="BC321"/>
      <c r="BD321"/>
    </row>
    <row r="322" spans="1:56">
      <c r="A322" s="2" t="s">
        <v>3036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5" t="str">
        <f>_xlfn.XLOOKUP(PROPERTIES[[#This Row],[VEHIDCODE]],CONTROL[VEHIDCODE],CONTROL[ENGLISH])</f>
        <v>Breda LA A650</v>
      </c>
      <c r="F322" t="s">
        <v>796</v>
      </c>
      <c r="G322" s="45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8">
        <v>36.5</v>
      </c>
      <c r="R322">
        <v>1250</v>
      </c>
      <c r="S322">
        <v>70</v>
      </c>
      <c r="T322" s="25">
        <v>0</v>
      </c>
      <c r="U322" s="24">
        <f>IFERROR(PROPERTIES[[#This Row],[TE_STARTING_KN]]/(PROPERTIES[[#This Row],[WEIGHT]]*9.81),0)</f>
        <v>0</v>
      </c>
      <c r="V322" s="24">
        <v>0.28000000000000003</v>
      </c>
      <c r="W322" s="21">
        <f>ROUND(IF(IFERROR(PROPERTIES[[#This Row],[TE_COEFFICIENT_CALC]],0)=0,PROPERTIES[[#This Row],[TE_COEFFICIENT_MANUAL]],PROPERTIES[[#This Row],[TE_COEFFICIENT_CALC]]),3)</f>
        <v>0.28000000000000003</v>
      </c>
      <c r="X322" s="9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1">
        <v>170</v>
      </c>
      <c r="Z322" s="7">
        <v>8</v>
      </c>
      <c r="AA322" t="s">
        <v>244</v>
      </c>
      <c r="AB322" t="s">
        <v>238</v>
      </c>
      <c r="AC322" t="s">
        <v>238</v>
      </c>
      <c r="AD322" s="2" t="s">
        <v>238</v>
      </c>
      <c r="AE322" s="2" t="s">
        <v>253</v>
      </c>
      <c r="AF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2" s="2" t="str">
        <f>SUBSTITUTE(SUBSTITUTE(PROPERTIES[[#This Row],[PURCHASECOST_VALUE]], "PURCHASECOST_", ""), "_VALUE", "")</f>
        <v>METRO</v>
      </c>
      <c r="AI322" s="7" t="str" cm="1">
        <f t="array" ref="AI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2" s="43" t="b">
        <v>0</v>
      </c>
      <c r="AK322" s="8" t="b">
        <v>0</v>
      </c>
      <c r="BB322"/>
      <c r="BC322"/>
      <c r="BD322"/>
    </row>
    <row r="323" spans="1:56">
      <c r="A323" s="2" t="s">
        <v>3037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5" t="str">
        <f>_xlfn.XLOOKUP(PROPERTIES[[#This Row],[VEHIDCODE]],CONTROL[VEHIDCODE],CONTROL[ENGLISH])</f>
        <v>Kawasaki Taipei C301</v>
      </c>
      <c r="F323" t="s">
        <v>791</v>
      </c>
      <c r="G323" s="45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8">
        <v>39.5</v>
      </c>
      <c r="R323">
        <v>1550</v>
      </c>
      <c r="S323">
        <v>80</v>
      </c>
      <c r="T323" s="25">
        <v>0</v>
      </c>
      <c r="U323" s="24">
        <f>IFERROR(PROPERTIES[[#This Row],[TE_STARTING_KN]]/(PROPERTIES[[#This Row],[WEIGHT]]*9.81),0)</f>
        <v>0</v>
      </c>
      <c r="V323" s="24">
        <v>0.3</v>
      </c>
      <c r="W323" s="21">
        <f>ROUND(IF(IFERROR(PROPERTIES[[#This Row],[TE_COEFFICIENT_CALC]],0)=0,PROPERTIES[[#This Row],[TE_COEFFICIENT_MANUAL]],PROPERTIES[[#This Row],[TE_COEFFICIENT_CALC]]),3)</f>
        <v>0.3</v>
      </c>
      <c r="X323" s="9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1">
        <v>250</v>
      </c>
      <c r="Z323" s="7">
        <v>8</v>
      </c>
      <c r="AA323" t="s">
        <v>247</v>
      </c>
      <c r="AB323" t="s">
        <v>238</v>
      </c>
      <c r="AC323" t="s">
        <v>238</v>
      </c>
      <c r="AD323" s="2" t="s">
        <v>238</v>
      </c>
      <c r="AE323" s="2" t="s">
        <v>253</v>
      </c>
      <c r="AF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3" s="2" t="str">
        <f>SUBSTITUTE(SUBSTITUTE(PROPERTIES[[#This Row],[PURCHASECOST_VALUE]], "PURCHASECOST_", ""), "_VALUE", "")</f>
        <v>METRO</v>
      </c>
      <c r="AI323" s="7" t="str" cm="1">
        <f t="array" ref="AI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3" s="43" t="b">
        <v>0</v>
      </c>
      <c r="AK323" s="8" t="b">
        <v>0</v>
      </c>
      <c r="BB323"/>
      <c r="BC323"/>
      <c r="BD323"/>
    </row>
    <row r="324" spans="1:56">
      <c r="A324" s="2" t="s">
        <v>3038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5" t="str">
        <f>_xlfn.XLOOKUP(PROPERTIES[[#This Row],[VEHIDCODE]],CONTROL[VEHIDCODE],CONTROL[ENGLISH])</f>
        <v>CAF Amsterdam S3 90</v>
      </c>
      <c r="F324" t="s">
        <v>731</v>
      </c>
      <c r="G324" s="45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8">
        <v>24</v>
      </c>
      <c r="R324">
        <v>1020</v>
      </c>
      <c r="S324">
        <v>70</v>
      </c>
      <c r="T324" s="25">
        <v>0</v>
      </c>
      <c r="U324" s="24">
        <f>IFERROR(PROPERTIES[[#This Row],[TE_STARTING_KN]]/(PROPERTIES[[#This Row],[WEIGHT]]*9.81),0)</f>
        <v>0</v>
      </c>
      <c r="V324" s="24">
        <v>0.28000000000000003</v>
      </c>
      <c r="W324" s="21">
        <f>ROUND(IF(IFERROR(PROPERTIES[[#This Row],[TE_COEFFICIENT_CALC]],0)=0,PROPERTIES[[#This Row],[TE_COEFFICIENT_MANUAL]],PROPERTIES[[#This Row],[TE_COEFFICIENT_CALC]]),3)</f>
        <v>0.28000000000000003</v>
      </c>
      <c r="X324" s="9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1">
        <v>250</v>
      </c>
      <c r="Z324" s="7">
        <v>8</v>
      </c>
      <c r="AA324" t="s">
        <v>239</v>
      </c>
      <c r="AB324" t="s">
        <v>238</v>
      </c>
      <c r="AC324" t="s">
        <v>238</v>
      </c>
      <c r="AD324" s="2" t="s">
        <v>238</v>
      </c>
      <c r="AE324" s="2" t="s">
        <v>253</v>
      </c>
      <c r="AF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4" s="2" t="str">
        <f>SUBSTITUTE(SUBSTITUTE(PROPERTIES[[#This Row],[PURCHASECOST_VALUE]], "PURCHASECOST_", ""), "_VALUE", "")</f>
        <v>METRO</v>
      </c>
      <c r="AI324" s="7" t="str" cm="1">
        <f t="array" ref="AI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4" s="43" t="b">
        <v>0</v>
      </c>
      <c r="AK324" s="8" t="b">
        <v>0</v>
      </c>
      <c r="BB324"/>
      <c r="BC324"/>
      <c r="BD324"/>
    </row>
    <row r="325" spans="1:56">
      <c r="A325" s="2" t="s">
        <v>3039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5" t="str">
        <f>_xlfn.XLOOKUP(PROPERTIES[[#This Row],[VEHIDCODE]],CONTROL[VEHIDCODE],CONTROL[ENGLISH])</f>
        <v>GEC-Alsthom Paris MP89</v>
      </c>
      <c r="F325" t="s">
        <v>641</v>
      </c>
      <c r="G325" s="45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8">
        <v>24</v>
      </c>
      <c r="R325">
        <v>2680</v>
      </c>
      <c r="S325">
        <v>80</v>
      </c>
      <c r="T325" s="25">
        <v>0</v>
      </c>
      <c r="U325" s="24">
        <f>IFERROR(PROPERTIES[[#This Row],[TE_STARTING_KN]]/(PROPERTIES[[#This Row],[WEIGHT]]*9.81),0)</f>
        <v>0</v>
      </c>
      <c r="V325" s="24">
        <v>0.35</v>
      </c>
      <c r="W325" s="21">
        <f>ROUND(IF(IFERROR(PROPERTIES[[#This Row],[TE_COEFFICIENT_CALC]],0)=0,PROPERTIES[[#This Row],[TE_COEFFICIENT_MANUAL]],PROPERTIES[[#This Row],[TE_COEFFICIENT_CALC]]),3)</f>
        <v>0.35</v>
      </c>
      <c r="X325" s="9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1">
        <v>120</v>
      </c>
      <c r="Z325" s="7">
        <v>7</v>
      </c>
      <c r="AA325" t="s">
        <v>239</v>
      </c>
      <c r="AB325" t="s">
        <v>238</v>
      </c>
      <c r="AC325" t="s">
        <v>238</v>
      </c>
      <c r="AD325" s="2" t="s">
        <v>238</v>
      </c>
      <c r="AE325" s="2" t="s">
        <v>253</v>
      </c>
      <c r="AF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5" s="2" t="str">
        <f>SUBSTITUTE(SUBSTITUTE(PROPERTIES[[#This Row],[PURCHASECOST_VALUE]], "PURCHASECOST_", ""), "_VALUE", "")</f>
        <v>METRO</v>
      </c>
      <c r="AI325" s="7" t="str" cm="1">
        <f t="array" ref="AI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5" s="43" t="b">
        <v>0</v>
      </c>
      <c r="AK325" s="8" t="b">
        <v>0</v>
      </c>
      <c r="BB325"/>
      <c r="BC325"/>
      <c r="BD325"/>
    </row>
    <row r="326" spans="1:56">
      <c r="A326" s="2" t="s">
        <v>3040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5" t="str">
        <f>_xlfn.XLOOKUP(PROPERTIES[[#This Row],[VEHIDCODE]],CONTROL[VEHIDCODE],CONTROL[ENGLISH])</f>
        <v>MMZ 81-740</v>
      </c>
      <c r="F326" t="s">
        <v>755</v>
      </c>
      <c r="G326" s="45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8">
        <v>47</v>
      </c>
      <c r="R326">
        <v>1400</v>
      </c>
      <c r="S326">
        <v>90</v>
      </c>
      <c r="T326" s="25">
        <v>0</v>
      </c>
      <c r="U326" s="24">
        <f>IFERROR(PROPERTIES[[#This Row],[TE_STARTING_KN]]/(PROPERTIES[[#This Row],[WEIGHT]]*9.81),0)</f>
        <v>0</v>
      </c>
      <c r="V326" s="24">
        <v>0.3</v>
      </c>
      <c r="W326" s="21">
        <f>ROUND(IF(IFERROR(PROPERTIES[[#This Row],[TE_COEFFICIENT_CALC]],0)=0,PROPERTIES[[#This Row],[TE_COEFFICIENT_MANUAL]],PROPERTIES[[#This Row],[TE_COEFFICIENT_CALC]]),3)</f>
        <v>0.3</v>
      </c>
      <c r="X326" s="9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1">
        <v>120</v>
      </c>
      <c r="Z326" s="7">
        <v>6</v>
      </c>
      <c r="AA326" t="s">
        <v>2013</v>
      </c>
      <c r="AB326" t="s">
        <v>238</v>
      </c>
      <c r="AC326" t="s">
        <v>238</v>
      </c>
      <c r="AD326" s="2" t="s">
        <v>238</v>
      </c>
      <c r="AE326" s="2" t="s">
        <v>253</v>
      </c>
      <c r="AF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6" s="2" t="str">
        <f>SUBSTITUTE(SUBSTITUTE(PROPERTIES[[#This Row],[PURCHASECOST_VALUE]], "PURCHASECOST_", ""), "_VALUE", "")</f>
        <v>METRO</v>
      </c>
      <c r="AI326" s="7" t="str" cm="1">
        <f t="array" ref="AI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6" s="43" t="b">
        <v>0</v>
      </c>
      <c r="AK326" s="8" t="b">
        <v>0</v>
      </c>
      <c r="BB326"/>
      <c r="BC326"/>
      <c r="BD326"/>
    </row>
    <row r="327" spans="1:56">
      <c r="A327" s="2" t="s">
        <v>3041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5" t="str">
        <f>_xlfn.XLOOKUP(PROPERTIES[[#This Row],[VEHIDCODE]],CONTROL[VEHIDCODE],CONTROL[ENGLISH])</f>
        <v>Alstom Singapore C830 'Metropolis'</v>
      </c>
      <c r="F327" t="s">
        <v>762</v>
      </c>
      <c r="G327" s="45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8">
        <v>35</v>
      </c>
      <c r="R327">
        <v>1500</v>
      </c>
      <c r="S327">
        <v>90</v>
      </c>
      <c r="T327" s="25">
        <v>0</v>
      </c>
      <c r="U327" s="24">
        <f>IFERROR(PROPERTIES[[#This Row],[TE_STARTING_KN]]/(PROPERTIES[[#This Row],[WEIGHT]]*9.81),0)</f>
        <v>0</v>
      </c>
      <c r="V327" s="24">
        <v>0.3</v>
      </c>
      <c r="W327" s="21">
        <f>ROUND(IF(IFERROR(PROPERTIES[[#This Row],[TE_COEFFICIENT_CALC]],0)=0,PROPERTIES[[#This Row],[TE_COEFFICIENT_MANUAL]],PROPERTIES[[#This Row],[TE_COEFFICIENT_CALC]]),3)</f>
        <v>0.3</v>
      </c>
      <c r="X327" s="9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1">
        <v>250</v>
      </c>
      <c r="Z327" s="7">
        <v>8</v>
      </c>
      <c r="AA327" t="s">
        <v>247</v>
      </c>
      <c r="AB327" t="s">
        <v>238</v>
      </c>
      <c r="AC327" t="s">
        <v>238</v>
      </c>
      <c r="AD327" s="2" t="s">
        <v>238</v>
      </c>
      <c r="AE327" s="2" t="s">
        <v>253</v>
      </c>
      <c r="AF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7" s="2" t="str">
        <f>SUBSTITUTE(SUBSTITUTE(PROPERTIES[[#This Row],[PURCHASECOST_VALUE]], "PURCHASECOST_", ""), "_VALUE", "")</f>
        <v>METRO</v>
      </c>
      <c r="AI327" s="7" t="str" cm="1">
        <f t="array" ref="AI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7" s="43" t="b">
        <v>0</v>
      </c>
      <c r="AK327" s="8" t="b">
        <v>1</v>
      </c>
      <c r="BB327"/>
      <c r="BC327"/>
      <c r="BD327"/>
    </row>
    <row r="328" spans="1:56">
      <c r="A328" s="2" t="s">
        <v>3042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5" t="str">
        <f>_xlfn.XLOOKUP(PROPERTIES[[#This Row],[VEHIDCODE]],CONTROL[VEHIDCODE],CONTROL[ENGLISH])</f>
        <v>Siemens Oslo MX3000</v>
      </c>
      <c r="F328" t="s">
        <v>732</v>
      </c>
      <c r="G328" s="45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8">
        <v>31.3</v>
      </c>
      <c r="R328">
        <v>1500</v>
      </c>
      <c r="S328">
        <v>80</v>
      </c>
      <c r="T328" s="25">
        <v>0</v>
      </c>
      <c r="U328" s="24">
        <f>IFERROR(PROPERTIES[[#This Row],[TE_STARTING_KN]]/(PROPERTIES[[#This Row],[WEIGHT]]*9.81),0)</f>
        <v>0</v>
      </c>
      <c r="V328" s="24">
        <v>0.32</v>
      </c>
      <c r="W328" s="21">
        <f>ROUND(IF(IFERROR(PROPERTIES[[#This Row],[TE_COEFFICIENT_CALC]],0)=0,PROPERTIES[[#This Row],[TE_COEFFICIENT_MANUAL]],PROPERTIES[[#This Row],[TE_COEFFICIENT_CALC]]),3)</f>
        <v>0.32</v>
      </c>
      <c r="X328" s="9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1">
        <v>164</v>
      </c>
      <c r="Z328" s="7">
        <v>7</v>
      </c>
      <c r="AA328" t="s">
        <v>243</v>
      </c>
      <c r="AB328" t="s">
        <v>238</v>
      </c>
      <c r="AC328" t="s">
        <v>238</v>
      </c>
      <c r="AD328" s="2" t="s">
        <v>238</v>
      </c>
      <c r="AE328" s="2" t="s">
        <v>253</v>
      </c>
      <c r="AF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8" s="2" t="str">
        <f>SUBSTITUTE(SUBSTITUTE(PROPERTIES[[#This Row],[PURCHASECOST_VALUE]], "PURCHASECOST_", ""), "_VALUE", "")</f>
        <v>METRO</v>
      </c>
      <c r="AI328" s="7" t="str" cm="1">
        <f t="array" ref="AI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8" s="43" t="b">
        <v>0</v>
      </c>
      <c r="AK328" s="8" t="b">
        <v>0</v>
      </c>
      <c r="BB328"/>
      <c r="BC328"/>
      <c r="BD328"/>
    </row>
    <row r="329" spans="1:56">
      <c r="A329" s="2" t="s">
        <v>3043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5" t="str">
        <f>_xlfn.XLOOKUP(PROPERTIES[[#This Row],[VEHIDCODE]],CONTROL[VEHIDCODE],CONTROL[ENGLISH])</f>
        <v>Kawasaki Osaka 30000</v>
      </c>
      <c r="F329" t="s">
        <v>679</v>
      </c>
      <c r="G329" s="45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8">
        <v>31.5</v>
      </c>
      <c r="R329">
        <v>1820</v>
      </c>
      <c r="S329">
        <v>70</v>
      </c>
      <c r="T329" s="25">
        <v>0</v>
      </c>
      <c r="U329" s="24">
        <f>IFERROR(PROPERTIES[[#This Row],[TE_STARTING_KN]]/(PROPERTIES[[#This Row],[WEIGHT]]*9.81),0)</f>
        <v>0</v>
      </c>
      <c r="V329" s="24">
        <v>0.3</v>
      </c>
      <c r="W329" s="21">
        <f>ROUND(IF(IFERROR(PROPERTIES[[#This Row],[TE_COEFFICIENT_CALC]],0)=0,PROPERTIES[[#This Row],[TE_COEFFICIENT_MANUAL]],PROPERTIES[[#This Row],[TE_COEFFICIENT_CALC]]),3)</f>
        <v>0.3</v>
      </c>
      <c r="X329" s="9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1">
        <v>140</v>
      </c>
      <c r="Z329" s="7">
        <v>8</v>
      </c>
      <c r="AA329" t="s">
        <v>247</v>
      </c>
      <c r="AB329" t="s">
        <v>238</v>
      </c>
      <c r="AC329" t="s">
        <v>238</v>
      </c>
      <c r="AD329" s="2" t="s">
        <v>238</v>
      </c>
      <c r="AE329" s="2" t="s">
        <v>253</v>
      </c>
      <c r="AF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9" s="2" t="str">
        <f>SUBSTITUTE(SUBSTITUTE(PROPERTIES[[#This Row],[PURCHASECOST_VALUE]], "PURCHASECOST_", ""), "_VALUE", "")</f>
        <v>METRO</v>
      </c>
      <c r="AI329" s="7" t="str" cm="1">
        <f t="array" ref="AI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9" s="43" t="b">
        <v>0</v>
      </c>
      <c r="AK329" s="8" t="b">
        <v>0</v>
      </c>
      <c r="BB329"/>
      <c r="BC329"/>
      <c r="BD329"/>
    </row>
    <row r="330" spans="1:56">
      <c r="A330" s="2" t="s">
        <v>3044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5" t="str">
        <f>_xlfn.XLOOKUP(PROPERTIES[[#This Row],[VEHIDCODE]],CONTROL[VEHIDCODE],CONTROL[ENGLISH])</f>
        <v>Kawasaki Singapore C151A</v>
      </c>
      <c r="F330" t="s">
        <v>762</v>
      </c>
      <c r="G330" s="45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8">
        <v>35</v>
      </c>
      <c r="R330">
        <v>1580</v>
      </c>
      <c r="S330">
        <v>90</v>
      </c>
      <c r="T330" s="25">
        <v>0</v>
      </c>
      <c r="U330" s="24">
        <f>IFERROR(PROPERTIES[[#This Row],[TE_STARTING_KN]]/(PROPERTIES[[#This Row],[WEIGHT]]*9.81),0)</f>
        <v>0</v>
      </c>
      <c r="V330" s="24">
        <v>0.3</v>
      </c>
      <c r="W330" s="21">
        <f>ROUND(IF(IFERROR(PROPERTIES[[#This Row],[TE_COEFFICIENT_CALC]],0)=0,PROPERTIES[[#This Row],[TE_COEFFICIENT_MANUAL]],PROPERTIES[[#This Row],[TE_COEFFICIENT_CALC]]),3)</f>
        <v>0.3</v>
      </c>
      <c r="X330" s="9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1">
        <v>250</v>
      </c>
      <c r="Z330" s="7">
        <v>8</v>
      </c>
      <c r="AA330" t="s">
        <v>247</v>
      </c>
      <c r="AB330" t="s">
        <v>238</v>
      </c>
      <c r="AC330" t="s">
        <v>238</v>
      </c>
      <c r="AD330" s="2" t="s">
        <v>238</v>
      </c>
      <c r="AE330" s="2" t="s">
        <v>253</v>
      </c>
      <c r="AF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0" s="2" t="str">
        <f>SUBSTITUTE(SUBSTITUTE(PROPERTIES[[#This Row],[PURCHASECOST_VALUE]], "PURCHASECOST_", ""), "_VALUE", "")</f>
        <v>METRO</v>
      </c>
      <c r="AI330" s="7" t="str" cm="1">
        <f t="array" ref="AI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0" s="43" t="b">
        <v>0</v>
      </c>
      <c r="AK330" s="8" t="b">
        <v>0</v>
      </c>
      <c r="BB330"/>
      <c r="BC330"/>
      <c r="BD330"/>
    </row>
    <row r="331" spans="1:56">
      <c r="A331" s="2" t="s">
        <v>3045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5" t="str">
        <f>_xlfn.XLOOKUP(PROPERTIES[[#This Row],[VEHIDCODE]],CONTROL[VEHIDCODE],CONTROL[ENGLISH])</f>
        <v>Kawasaki Washington 7000</v>
      </c>
      <c r="F331" t="s">
        <v>796</v>
      </c>
      <c r="G331" s="45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8">
        <v>36.5</v>
      </c>
      <c r="R331">
        <v>1520</v>
      </c>
      <c r="S331">
        <v>90</v>
      </c>
      <c r="T331" s="25">
        <v>0</v>
      </c>
      <c r="U331" s="24">
        <f>IFERROR(PROPERTIES[[#This Row],[TE_STARTING_KN]]/(PROPERTIES[[#This Row],[WEIGHT]]*9.81),0)</f>
        <v>0</v>
      </c>
      <c r="V331" s="24">
        <v>0.3</v>
      </c>
      <c r="W331" s="21">
        <f>ROUND(IF(IFERROR(PROPERTIES[[#This Row],[TE_COEFFICIENT_CALC]],0)=0,PROPERTIES[[#This Row],[TE_COEFFICIENT_MANUAL]],PROPERTIES[[#This Row],[TE_COEFFICIENT_CALC]]),3)</f>
        <v>0.3</v>
      </c>
      <c r="X331" s="9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1">
        <v>184</v>
      </c>
      <c r="Z331" s="7">
        <v>8</v>
      </c>
      <c r="AA331" t="s">
        <v>244</v>
      </c>
      <c r="AB331" t="s">
        <v>238</v>
      </c>
      <c r="AC331" t="s">
        <v>238</v>
      </c>
      <c r="AD331" s="2" t="s">
        <v>238</v>
      </c>
      <c r="AE331" s="2" t="s">
        <v>253</v>
      </c>
      <c r="AF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1" s="2" t="str">
        <f>SUBSTITUTE(SUBSTITUTE(PROPERTIES[[#This Row],[PURCHASECOST_VALUE]], "PURCHASECOST_", ""), "_VALUE", "")</f>
        <v>METRO</v>
      </c>
      <c r="AI331" s="7" t="str" cm="1">
        <f t="array" ref="AI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1" s="43" t="b">
        <v>0</v>
      </c>
      <c r="AK331" s="8" t="b">
        <v>0</v>
      </c>
      <c r="BB331"/>
      <c r="BC331"/>
      <c r="BD331"/>
    </row>
    <row r="332" spans="1:56">
      <c r="A332" s="2" t="s">
        <v>3046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5" t="str">
        <f>_xlfn.XLOOKUP(PROPERTIES[[#This Row],[VEHIDCODE]],CONTROL[VEHIDCODE],CONTROL[ENGLISH])</f>
        <v>Hitachi Thessaloniki 2014</v>
      </c>
      <c r="F332" t="s">
        <v>654</v>
      </c>
      <c r="G332" s="45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8">
        <v>27.5</v>
      </c>
      <c r="R332">
        <v>1360</v>
      </c>
      <c r="S332">
        <v>80</v>
      </c>
      <c r="T332" s="25">
        <v>0</v>
      </c>
      <c r="U332" s="24">
        <f>IFERROR(PROPERTIES[[#This Row],[TE_STARTING_KN]]/(PROPERTIES[[#This Row],[WEIGHT]]*9.81),0)</f>
        <v>0</v>
      </c>
      <c r="V332" s="24">
        <v>0.3</v>
      </c>
      <c r="W332" s="21">
        <f>ROUND(IF(IFERROR(PROPERTIES[[#This Row],[TE_COEFFICIENT_CALC]],0)=0,PROPERTIES[[#This Row],[TE_COEFFICIENT_MANUAL]],PROPERTIES[[#This Row],[TE_COEFFICIENT_CALC]]),3)</f>
        <v>0.3</v>
      </c>
      <c r="X332" s="9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1">
        <v>110</v>
      </c>
      <c r="Z332" s="7">
        <v>6</v>
      </c>
      <c r="AA332" t="s">
        <v>240</v>
      </c>
      <c r="AB332" t="s">
        <v>238</v>
      </c>
      <c r="AC332" t="s">
        <v>238</v>
      </c>
      <c r="AD332" s="2" t="s">
        <v>238</v>
      </c>
      <c r="AE332" s="2" t="s">
        <v>253</v>
      </c>
      <c r="AF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2" s="2" t="str">
        <f>SUBSTITUTE(SUBSTITUTE(PROPERTIES[[#This Row],[PURCHASECOST_VALUE]], "PURCHASECOST_", ""), "_VALUE", "")</f>
        <v>METRO</v>
      </c>
      <c r="AI332" s="7" t="str" cm="1">
        <f t="array" ref="AI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2" s="43" t="b">
        <v>0</v>
      </c>
      <c r="AK332" s="8" t="b">
        <v>0</v>
      </c>
      <c r="BB332"/>
      <c r="BC332"/>
      <c r="BD332"/>
    </row>
    <row r="333" spans="1:56">
      <c r="A333" s="2" t="s">
        <v>3047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5" t="str">
        <f>_xlfn.XLOOKUP(PROPERTIES[[#This Row],[VEHIDCODE]],CONTROL[VEHIDCODE],CONTROL[ENGLISH])</f>
        <v>AEG Berlin U-Bahn A I</v>
      </c>
      <c r="F333" t="s">
        <v>623</v>
      </c>
      <c r="G333" s="45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8">
        <v>18.5</v>
      </c>
      <c r="R333">
        <v>320</v>
      </c>
      <c r="S333">
        <v>50</v>
      </c>
      <c r="T333" s="25">
        <v>0</v>
      </c>
      <c r="U333" s="24">
        <f>IFERROR(PROPERTIES[[#This Row],[TE_STARTING_KN]]/(PROPERTIES[[#This Row],[WEIGHT]]*9.81),0)</f>
        <v>0</v>
      </c>
      <c r="V333" s="24">
        <v>0.18</v>
      </c>
      <c r="W333" s="21">
        <f>ROUND(IF(IFERROR(PROPERTIES[[#This Row],[TE_COEFFICIENT_CALC]],0)=0,PROPERTIES[[#This Row],[TE_COEFFICIENT_MANUAL]],PROPERTIES[[#This Row],[TE_COEFFICIENT_CALC]]),3)</f>
        <v>0.18</v>
      </c>
      <c r="X333" s="9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1">
        <v>88</v>
      </c>
      <c r="Z333" s="7">
        <v>5</v>
      </c>
      <c r="AA333" t="s">
        <v>239</v>
      </c>
      <c r="AB333" t="s">
        <v>238</v>
      </c>
      <c r="AC333" t="s">
        <v>238</v>
      </c>
      <c r="AD333" s="2" t="s">
        <v>238</v>
      </c>
      <c r="AE333" s="2" t="s">
        <v>253</v>
      </c>
      <c r="AF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3" s="2" t="str">
        <f>SUBSTITUTE(SUBSTITUTE(PROPERTIES[[#This Row],[PURCHASECOST_VALUE]], "PURCHASECOST_", ""), "_VALUE", "")</f>
        <v>METRO</v>
      </c>
      <c r="AI333" s="7" t="str" cm="1">
        <f t="array" ref="AI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3" s="43" t="b">
        <v>0</v>
      </c>
      <c r="AK333" s="8" t="b">
        <v>0</v>
      </c>
      <c r="BB333"/>
      <c r="BC333"/>
      <c r="BD333"/>
    </row>
    <row r="334" spans="1:56">
      <c r="A334" s="2" t="s">
        <v>3048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5" t="str">
        <f>_xlfn.XLOOKUP(PROPERTIES[[#This Row],[VEHIDCODE]],CONTROL[VEHIDCODE],CONTROL[ENGLISH])</f>
        <v>ACF New York Hedley Hi-V</v>
      </c>
      <c r="F334" t="s">
        <v>796</v>
      </c>
      <c r="G334" s="45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8">
        <v>38.5</v>
      </c>
      <c r="R334">
        <v>400</v>
      </c>
      <c r="S334">
        <v>72</v>
      </c>
      <c r="T334" s="25">
        <v>0</v>
      </c>
      <c r="U334" s="24">
        <f>IFERROR(PROPERTIES[[#This Row],[TE_STARTING_KN]]/(PROPERTIES[[#This Row],[WEIGHT]]*9.81),0)</f>
        <v>0</v>
      </c>
      <c r="V334" s="24">
        <v>0.18</v>
      </c>
      <c r="W334" s="21">
        <f>ROUND(IF(IFERROR(PROPERTIES[[#This Row],[TE_COEFFICIENT_CALC]],0)=0,PROPERTIES[[#This Row],[TE_COEFFICIENT_MANUAL]],PROPERTIES[[#This Row],[TE_COEFFICIENT_CALC]]),3)</f>
        <v>0.18</v>
      </c>
      <c r="X334" s="9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1">
        <v>128</v>
      </c>
      <c r="Z334" s="7">
        <v>8</v>
      </c>
      <c r="AA334" t="s">
        <v>244</v>
      </c>
      <c r="AB334" t="s">
        <v>238</v>
      </c>
      <c r="AC334" t="s">
        <v>238</v>
      </c>
      <c r="AD334" s="2" t="s">
        <v>238</v>
      </c>
      <c r="AE334" s="2" t="s">
        <v>253</v>
      </c>
      <c r="AF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4" s="2" t="str">
        <f>SUBSTITUTE(SUBSTITUTE(PROPERTIES[[#This Row],[PURCHASECOST_VALUE]], "PURCHASECOST_", ""), "_VALUE", "")</f>
        <v>METRO</v>
      </c>
      <c r="AI334" s="7" t="str" cm="1">
        <f t="array" ref="AI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4" s="43" t="b">
        <v>0</v>
      </c>
      <c r="AK334" s="8" t="b">
        <v>0</v>
      </c>
      <c r="BB334"/>
      <c r="BC334"/>
      <c r="BD334"/>
    </row>
    <row r="335" spans="1:56">
      <c r="A335" s="2" t="s">
        <v>3049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5" t="str">
        <f>_xlfn.XLOOKUP(PROPERTIES[[#This Row],[VEHIDCODE]],CONTROL[VEHIDCODE],CONTROL[ENGLISH])</f>
        <v>Kawasaki Osaka 1000</v>
      </c>
      <c r="F335" t="s">
        <v>679</v>
      </c>
      <c r="G335" s="45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8">
        <v>40</v>
      </c>
      <c r="R335">
        <v>615</v>
      </c>
      <c r="S335">
        <v>65</v>
      </c>
      <c r="T335" s="25">
        <v>0</v>
      </c>
      <c r="U335" s="24">
        <f>IFERROR(PROPERTIES[[#This Row],[TE_STARTING_KN]]/(PROPERTIES[[#This Row],[WEIGHT]]*9.81),0)</f>
        <v>0</v>
      </c>
      <c r="V335" s="24">
        <v>0.2</v>
      </c>
      <c r="W335" s="21">
        <f>ROUND(IF(IFERROR(PROPERTIES[[#This Row],[TE_COEFFICIENT_CALC]],0)=0,PROPERTIES[[#This Row],[TE_COEFFICIENT_MANUAL]],PROPERTIES[[#This Row],[TE_COEFFICIENT_CALC]]),3)</f>
        <v>0.2</v>
      </c>
      <c r="X335" s="9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1">
        <v>145</v>
      </c>
      <c r="Z335" s="7">
        <v>7</v>
      </c>
      <c r="AA335" t="s">
        <v>247</v>
      </c>
      <c r="AB335" t="s">
        <v>238</v>
      </c>
      <c r="AC335" t="s">
        <v>238</v>
      </c>
      <c r="AD335" s="2" t="s">
        <v>238</v>
      </c>
      <c r="AE335" s="2" t="s">
        <v>253</v>
      </c>
      <c r="AF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5" s="2" t="str">
        <f>SUBSTITUTE(SUBSTITUTE(PROPERTIES[[#This Row],[PURCHASECOST_VALUE]], "PURCHASECOST_", ""), "_VALUE", "")</f>
        <v>METRO</v>
      </c>
      <c r="AI335" s="7" t="str" cm="1">
        <f t="array" ref="AI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5" s="43" t="b">
        <v>0</v>
      </c>
      <c r="AK335" s="8" t="b">
        <v>0</v>
      </c>
      <c r="BB335"/>
      <c r="BC335"/>
      <c r="BD335"/>
    </row>
    <row r="336" spans="1:56">
      <c r="A336" s="2" t="s">
        <v>3050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5" t="str">
        <f>_xlfn.XLOOKUP(PROPERTIES[[#This Row],[VEHIDCODE]],CONTROL[VEHIDCODE],CONTROL[ENGLISH])</f>
        <v>MMZ Type A</v>
      </c>
      <c r="F336" t="s">
        <v>755</v>
      </c>
      <c r="G336" s="45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8">
        <v>41</v>
      </c>
      <c r="R336">
        <v>535</v>
      </c>
      <c r="S336">
        <v>65</v>
      </c>
      <c r="T336" s="25">
        <v>0</v>
      </c>
      <c r="U336" s="24">
        <f>IFERROR(PROPERTIES[[#This Row],[TE_STARTING_KN]]/(PROPERTIES[[#This Row],[WEIGHT]]*9.81),0)</f>
        <v>0</v>
      </c>
      <c r="V336" s="24">
        <v>0.19</v>
      </c>
      <c r="W336" s="21">
        <f>ROUND(IF(IFERROR(PROPERTIES[[#This Row],[TE_COEFFICIENT_CALC]],0)=0,PROPERTIES[[#This Row],[TE_COEFFICIENT_MANUAL]],PROPERTIES[[#This Row],[TE_COEFFICIENT_CALC]]),3)</f>
        <v>0.19</v>
      </c>
      <c r="X336" s="9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1">
        <v>131</v>
      </c>
      <c r="Z336" s="7">
        <v>7</v>
      </c>
      <c r="AA336" t="s">
        <v>2013</v>
      </c>
      <c r="AB336" t="s">
        <v>238</v>
      </c>
      <c r="AC336" t="s">
        <v>238</v>
      </c>
      <c r="AD336" s="2" t="s">
        <v>238</v>
      </c>
      <c r="AE336" s="2" t="s">
        <v>253</v>
      </c>
      <c r="AF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6" s="2" t="str">
        <f>SUBSTITUTE(SUBSTITUTE(PROPERTIES[[#This Row],[PURCHASECOST_VALUE]], "PURCHASECOST_", ""), "_VALUE", "")</f>
        <v>METRO</v>
      </c>
      <c r="AI336" s="7" t="str" cm="1">
        <f t="array" ref="AI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6" s="43" t="b">
        <v>0</v>
      </c>
      <c r="AK336" s="8" t="b">
        <v>0</v>
      </c>
      <c r="BB336"/>
      <c r="BC336"/>
      <c r="BD336"/>
    </row>
    <row r="337" spans="1:56">
      <c r="A337" s="2" t="s">
        <v>3051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5" t="str">
        <f>_xlfn.XLOOKUP(PROPERTIES[[#This Row],[VEHIDCODE]],CONTROL[VEHIDCODE],CONTROL[ENGLISH])</f>
        <v>ACF New York R10</v>
      </c>
      <c r="F337" t="s">
        <v>796</v>
      </c>
      <c r="G337" s="45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8">
        <v>36.5</v>
      </c>
      <c r="R337">
        <v>800</v>
      </c>
      <c r="S337">
        <v>88</v>
      </c>
      <c r="T337" s="25">
        <v>0</v>
      </c>
      <c r="U337" s="24">
        <f>IFERROR(PROPERTIES[[#This Row],[TE_STARTING_KN]]/(PROPERTIES[[#This Row],[WEIGHT]]*9.81),0)</f>
        <v>0</v>
      </c>
      <c r="V337" s="24">
        <v>0.21</v>
      </c>
      <c r="W337" s="21">
        <f>ROUND(IF(IFERROR(PROPERTIES[[#This Row],[TE_COEFFICIENT_CALC]],0)=0,PROPERTIES[[#This Row],[TE_COEFFICIENT_MANUAL]],PROPERTIES[[#This Row],[TE_COEFFICIENT_CALC]]),3)</f>
        <v>0.21</v>
      </c>
      <c r="X337" s="9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1">
        <v>160</v>
      </c>
      <c r="Z337" s="7">
        <v>8</v>
      </c>
      <c r="AA337" t="s">
        <v>244</v>
      </c>
      <c r="AB337" t="s">
        <v>238</v>
      </c>
      <c r="AC337" t="s">
        <v>238</v>
      </c>
      <c r="AD337" s="2" t="s">
        <v>238</v>
      </c>
      <c r="AE337" s="2" t="s">
        <v>253</v>
      </c>
      <c r="AF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7" s="2" t="str">
        <f>SUBSTITUTE(SUBSTITUTE(PROPERTIES[[#This Row],[PURCHASECOST_VALUE]], "PURCHASECOST_", ""), "_VALUE", "")</f>
        <v>METRO</v>
      </c>
      <c r="AI337" s="7" t="str" cm="1">
        <f t="array" ref="AI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7" s="43" t="b">
        <v>0</v>
      </c>
      <c r="AK337" s="8" t="b">
        <v>0</v>
      </c>
      <c r="BB337"/>
      <c r="BC337"/>
      <c r="BD337"/>
    </row>
    <row r="338" spans="1:56">
      <c r="A338" s="2" t="s">
        <v>3052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5" t="str">
        <f>_xlfn.XLOOKUP(PROPERTIES[[#This Row],[VEHIDCODE]],CONTROL[VEHIDCODE],CONTROL[ENGLISH])</f>
        <v>Stanga Rome MR 100</v>
      </c>
      <c r="F338" t="s">
        <v>675</v>
      </c>
      <c r="G338" s="45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8">
        <v>40</v>
      </c>
      <c r="R338">
        <v>830</v>
      </c>
      <c r="S338">
        <v>100</v>
      </c>
      <c r="T338" s="25">
        <v>0</v>
      </c>
      <c r="U338" s="24">
        <f>IFERROR(PROPERTIES[[#This Row],[TE_STARTING_KN]]/(PROPERTIES[[#This Row],[WEIGHT]]*9.81),0)</f>
        <v>0</v>
      </c>
      <c r="V338" s="24">
        <v>0.21</v>
      </c>
      <c r="W338" s="21">
        <f>ROUND(IF(IFERROR(PROPERTIES[[#This Row],[TE_COEFFICIENT_CALC]],0)=0,PROPERTIES[[#This Row],[TE_COEFFICIENT_MANUAL]],PROPERTIES[[#This Row],[TE_COEFFICIENT_CALC]]),3)</f>
        <v>0.21</v>
      </c>
      <c r="X338" s="9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1">
        <v>156</v>
      </c>
      <c r="Z338" s="7">
        <v>7</v>
      </c>
      <c r="AA338" t="s">
        <v>240</v>
      </c>
      <c r="AB338" t="s">
        <v>238</v>
      </c>
      <c r="AC338" t="s">
        <v>238</v>
      </c>
      <c r="AD338" s="2" t="s">
        <v>238</v>
      </c>
      <c r="AE338" s="2" t="s">
        <v>253</v>
      </c>
      <c r="AF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8" s="2" t="str">
        <f>SUBSTITUTE(SUBSTITUTE(PROPERTIES[[#This Row],[PURCHASECOST_VALUE]], "PURCHASECOST_", ""), "_VALUE", "")</f>
        <v>METRO</v>
      </c>
      <c r="AI338" s="7" t="str" cm="1">
        <f t="array" ref="AI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8" s="43" t="b">
        <v>0</v>
      </c>
      <c r="AK338" s="8" t="b">
        <v>0</v>
      </c>
      <c r="BB338"/>
      <c r="BC338"/>
      <c r="BD338"/>
    </row>
    <row r="339" spans="1:56">
      <c r="A339" s="2" t="s">
        <v>3053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5" t="str">
        <f>_xlfn.XLOOKUP(PROPERTIES[[#This Row],[VEHIDCODE]],CONTROL[VEHIDCODE],CONTROL[ENGLISH])</f>
        <v>MMZ 81-702 Type D</v>
      </c>
      <c r="F339" t="s">
        <v>755</v>
      </c>
      <c r="G339" s="45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8">
        <v>36.200000000000003</v>
      </c>
      <c r="R339">
        <v>760</v>
      </c>
      <c r="S339">
        <v>75</v>
      </c>
      <c r="T339" s="25">
        <v>0</v>
      </c>
      <c r="U339" s="24">
        <f>IFERROR(PROPERTIES[[#This Row],[TE_STARTING_KN]]/(PROPERTIES[[#This Row],[WEIGHT]]*9.81),0)</f>
        <v>0</v>
      </c>
      <c r="V339" s="24">
        <v>0.21</v>
      </c>
      <c r="W339" s="21">
        <f>ROUND(IF(IFERROR(PROPERTIES[[#This Row],[TE_COEFFICIENT_CALC]],0)=0,PROPERTIES[[#This Row],[TE_COEFFICIENT_MANUAL]],PROPERTIES[[#This Row],[TE_COEFFICIENT_CALC]]),3)</f>
        <v>0.21</v>
      </c>
      <c r="X339" s="9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1">
        <v>132</v>
      </c>
      <c r="Z339" s="7">
        <v>8</v>
      </c>
      <c r="AA339" t="s">
        <v>2013</v>
      </c>
      <c r="AB339" t="s">
        <v>238</v>
      </c>
      <c r="AC339" t="s">
        <v>238</v>
      </c>
      <c r="AD339" s="2" t="s">
        <v>238</v>
      </c>
      <c r="AE339" s="2" t="s">
        <v>253</v>
      </c>
      <c r="AF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9" s="2" t="str">
        <f>SUBSTITUTE(SUBSTITUTE(PROPERTIES[[#This Row],[PURCHASECOST_VALUE]], "PURCHASECOST_", ""), "_VALUE", "")</f>
        <v>METRO</v>
      </c>
      <c r="AI339" s="7" t="str" cm="1">
        <f t="array" ref="AI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9" s="43" t="b">
        <v>0</v>
      </c>
      <c r="AK339" s="8" t="b">
        <v>0</v>
      </c>
      <c r="BB339"/>
      <c r="BC339"/>
      <c r="BD339"/>
    </row>
    <row r="340" spans="1:56">
      <c r="A340" s="2" t="s">
        <v>3054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5" t="str">
        <f>_xlfn.XLOOKUP(PROPERTIES[[#This Row],[VEHIDCODE]],CONTROL[VEHIDCODE],CONTROL[ENGLISH])</f>
        <v>Werkspoor Rotterdam MG2 Type M</v>
      </c>
      <c r="F340" t="s">
        <v>731</v>
      </c>
      <c r="G340" s="45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8">
        <v>25</v>
      </c>
      <c r="R340">
        <v>630</v>
      </c>
      <c r="S340">
        <v>80</v>
      </c>
      <c r="T340" s="25">
        <v>0</v>
      </c>
      <c r="U340" s="24">
        <f>IFERROR(PROPERTIES[[#This Row],[TE_STARTING_KN]]/(PROPERTIES[[#This Row],[WEIGHT]]*9.81),0)</f>
        <v>0</v>
      </c>
      <c r="V340" s="24">
        <v>0.23</v>
      </c>
      <c r="W340" s="21">
        <f>ROUND(IF(IFERROR(PROPERTIES[[#This Row],[TE_COEFFICIENT_CALC]],0)=0,PROPERTIES[[#This Row],[TE_COEFFICIENT_MANUAL]],PROPERTIES[[#This Row],[TE_COEFFICIENT_CALC]]),3)</f>
        <v>0.23</v>
      </c>
      <c r="X340" s="9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1">
        <v>235</v>
      </c>
      <c r="Z340" s="7">
        <v>7</v>
      </c>
      <c r="AA340" t="s">
        <v>239</v>
      </c>
      <c r="AB340" t="s">
        <v>238</v>
      </c>
      <c r="AC340" t="s">
        <v>238</v>
      </c>
      <c r="AD340" s="2" t="s">
        <v>238</v>
      </c>
      <c r="AE340" s="2" t="s">
        <v>253</v>
      </c>
      <c r="AF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0" s="2" t="str">
        <f>SUBSTITUTE(SUBSTITUTE(PROPERTIES[[#This Row],[PURCHASECOST_VALUE]], "PURCHASECOST_", ""), "_VALUE", "")</f>
        <v>METRO</v>
      </c>
      <c r="AI340" s="7" t="str" cm="1">
        <f t="array" ref="AI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0" s="43" t="b">
        <v>0</v>
      </c>
      <c r="AK340" s="8" t="b">
        <v>0</v>
      </c>
      <c r="BB340"/>
      <c r="BC340"/>
      <c r="BD340"/>
    </row>
    <row r="341" spans="1:56">
      <c r="A341" s="2" t="s">
        <v>3055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5" t="str">
        <f>_xlfn.XLOOKUP(PROPERTIES[[#This Row],[VEHIDCODE]],CONTROL[VEHIDCODE],CONTROL[ENGLISH])</f>
        <v>MMZ 81-709 ECS</v>
      </c>
      <c r="F341" t="s">
        <v>755</v>
      </c>
      <c r="G341" s="45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8">
        <v>32.5</v>
      </c>
      <c r="R341">
        <v>910</v>
      </c>
      <c r="S341">
        <v>80</v>
      </c>
      <c r="T341" s="25">
        <v>0</v>
      </c>
      <c r="U341" s="24">
        <f>IFERROR(PROPERTIES[[#This Row],[TE_STARTING_KN]]/(PROPERTIES[[#This Row],[WEIGHT]]*9.81),0)</f>
        <v>0</v>
      </c>
      <c r="V341" s="24">
        <v>0.25</v>
      </c>
      <c r="W341" s="21">
        <f>ROUND(IF(IFERROR(PROPERTIES[[#This Row],[TE_COEFFICIENT_CALC]],0)=0,PROPERTIES[[#This Row],[TE_COEFFICIENT_MANUAL]],PROPERTIES[[#This Row],[TE_COEFFICIENT_CALC]]),3)</f>
        <v>0.25</v>
      </c>
      <c r="X341" s="9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1">
        <v>150</v>
      </c>
      <c r="Z341" s="7">
        <v>8</v>
      </c>
      <c r="AA341" t="s">
        <v>2013</v>
      </c>
      <c r="AB341" t="s">
        <v>238</v>
      </c>
      <c r="AC341" t="s">
        <v>238</v>
      </c>
      <c r="AD341" s="2" t="s">
        <v>238</v>
      </c>
      <c r="AE341" s="2" t="s">
        <v>253</v>
      </c>
      <c r="AF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1" s="2" t="str">
        <f>SUBSTITUTE(SUBSTITUTE(PROPERTIES[[#This Row],[PURCHASECOST_VALUE]], "PURCHASECOST_", ""), "_VALUE", "")</f>
        <v>METRO</v>
      </c>
      <c r="AI341" s="7" t="str" cm="1">
        <f t="array" ref="AI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1" s="43" t="b">
        <v>0</v>
      </c>
      <c r="AK341" s="8" t="b">
        <v>1</v>
      </c>
      <c r="BB341"/>
      <c r="BC341"/>
      <c r="BD341"/>
    </row>
    <row r="342" spans="1:56">
      <c r="A342" s="2" t="s">
        <v>3056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5" t="str">
        <f>_xlfn.XLOOKUP(PROPERTIES[[#This Row],[VEHIDCODE]],CONTROL[VEHIDCODE],CONTROL[ENGLISH])</f>
        <v>Hitachi Buenos Aires Serie 1200</v>
      </c>
      <c r="F342" t="s">
        <v>577</v>
      </c>
      <c r="G342" s="45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8">
        <v>23.5</v>
      </c>
      <c r="R342">
        <v>640</v>
      </c>
      <c r="S342">
        <v>75</v>
      </c>
      <c r="T342" s="25">
        <v>0</v>
      </c>
      <c r="U342" s="24">
        <f>IFERROR(PROPERTIES[[#This Row],[TE_STARTING_KN]]/(PROPERTIES[[#This Row],[WEIGHT]]*9.81),0)</f>
        <v>0</v>
      </c>
      <c r="V342" s="24">
        <v>0.23</v>
      </c>
      <c r="W342" s="21">
        <f>ROUND(IF(IFERROR(PROPERTIES[[#This Row],[TE_COEFFICIENT_CALC]],0)=0,PROPERTIES[[#This Row],[TE_COEFFICIENT_MANUAL]],PROPERTIES[[#This Row],[TE_COEFFICIENT_CALC]]),3)</f>
        <v>0.23</v>
      </c>
      <c r="X342" s="9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1">
        <v>162</v>
      </c>
      <c r="Z342" s="7">
        <v>7</v>
      </c>
      <c r="AA342" t="s">
        <v>246</v>
      </c>
      <c r="AB342" t="s">
        <v>238</v>
      </c>
      <c r="AC342" t="s">
        <v>238</v>
      </c>
      <c r="AD342" s="2" t="s">
        <v>238</v>
      </c>
      <c r="AE342" s="2" t="s">
        <v>253</v>
      </c>
      <c r="AF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2" s="2" t="str">
        <f>SUBSTITUTE(SUBSTITUTE(PROPERTIES[[#This Row],[PURCHASECOST_VALUE]], "PURCHASECOST_", ""), "_VALUE", "")</f>
        <v>METRO</v>
      </c>
      <c r="AI342" s="7" t="str" cm="1">
        <f t="array" ref="AI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2" s="43" t="b">
        <v>0</v>
      </c>
      <c r="AK342" s="8" t="b">
        <v>0</v>
      </c>
      <c r="BB342"/>
      <c r="BC342"/>
      <c r="BD342"/>
    </row>
    <row r="343" spans="1:56">
      <c r="A343" s="2" t="s">
        <v>3057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5" t="str">
        <f>_xlfn.XLOOKUP(PROPERTIES[[#This Row],[VEHIDCODE]],CONTROL[VEHIDCODE],CONTROL[ENGLISH])</f>
        <v>GEC-Alsthom Santiago NS-93</v>
      </c>
      <c r="F343" t="s">
        <v>612</v>
      </c>
      <c r="G343" s="45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8">
        <v>24.5</v>
      </c>
      <c r="R343">
        <v>2400</v>
      </c>
      <c r="S343">
        <v>100</v>
      </c>
      <c r="T343" s="25">
        <v>0</v>
      </c>
      <c r="U343" s="24">
        <f>IFERROR(PROPERTIES[[#This Row],[TE_STARTING_KN]]/(PROPERTIES[[#This Row],[WEIGHT]]*9.81),0)</f>
        <v>0</v>
      </c>
      <c r="V343" s="24">
        <v>0.35</v>
      </c>
      <c r="W343" s="21">
        <f>ROUND(IF(IFERROR(PROPERTIES[[#This Row],[TE_COEFFICIENT_CALC]],0)=0,PROPERTIES[[#This Row],[TE_COEFFICIENT_MANUAL]],PROPERTIES[[#This Row],[TE_COEFFICIENT_CALC]]),3)</f>
        <v>0.35</v>
      </c>
      <c r="X343" s="9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1">
        <v>116</v>
      </c>
      <c r="Z343" s="7">
        <v>7</v>
      </c>
      <c r="AA343" t="s">
        <v>246</v>
      </c>
      <c r="AB343" t="s">
        <v>238</v>
      </c>
      <c r="AC343" t="s">
        <v>238</v>
      </c>
      <c r="AD343" s="2" t="s">
        <v>238</v>
      </c>
      <c r="AE343" s="2" t="s">
        <v>253</v>
      </c>
      <c r="AF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3" s="2" t="str">
        <f>SUBSTITUTE(SUBSTITUTE(PROPERTIES[[#This Row],[PURCHASECOST_VALUE]], "PURCHASECOST_", ""), "_VALUE", "")</f>
        <v>METRO</v>
      </c>
      <c r="AI343" s="7" t="str" cm="1">
        <f t="array" ref="AI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3" s="43" t="b">
        <v>0</v>
      </c>
      <c r="AK343" s="8" t="b">
        <v>0</v>
      </c>
      <c r="BB343"/>
      <c r="BC343"/>
      <c r="BD343"/>
    </row>
    <row r="344" spans="1:56">
      <c r="A344" s="2" t="s">
        <v>3058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5" t="str">
        <f>_xlfn.XLOOKUP(PROPERTIES[[#This Row],[VEHIDCODE]],CONTROL[VEHIDCODE],CONTROL[ENGLISH])</f>
        <v>Alstom Brasil Santiago AS-2002</v>
      </c>
      <c r="F344" t="s">
        <v>612</v>
      </c>
      <c r="G344" s="45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8">
        <v>32</v>
      </c>
      <c r="R344">
        <v>1550</v>
      </c>
      <c r="S344">
        <v>100</v>
      </c>
      <c r="T344" s="25">
        <v>0</v>
      </c>
      <c r="U344" s="24">
        <f>IFERROR(PROPERTIES[[#This Row],[TE_STARTING_KN]]/(PROPERTIES[[#This Row],[WEIGHT]]*9.81),0)</f>
        <v>0</v>
      </c>
      <c r="V344" s="24">
        <v>0.28000000000000003</v>
      </c>
      <c r="W344" s="21">
        <f>ROUND(IF(IFERROR(PROPERTIES[[#This Row],[TE_COEFFICIENT_CALC]],0)=0,PROPERTIES[[#This Row],[TE_COEFFICIENT_MANUAL]],PROPERTIES[[#This Row],[TE_COEFFICIENT_CALC]]),3)</f>
        <v>0.28000000000000003</v>
      </c>
      <c r="X344" s="9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1">
        <v>196</v>
      </c>
      <c r="Z344" s="7">
        <v>8</v>
      </c>
      <c r="AA344" t="s">
        <v>246</v>
      </c>
      <c r="AB344" t="s">
        <v>238</v>
      </c>
      <c r="AC344" t="s">
        <v>238</v>
      </c>
      <c r="AD344" s="2" t="s">
        <v>238</v>
      </c>
      <c r="AE344" s="2" t="s">
        <v>253</v>
      </c>
      <c r="AF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4" s="2" t="str">
        <f>SUBSTITUTE(SUBSTITUTE(PROPERTIES[[#This Row],[PURCHASECOST_VALUE]], "PURCHASECOST_", ""), "_VALUE", "")</f>
        <v>METRO</v>
      </c>
      <c r="AI344" s="7" t="str" cm="1">
        <f t="array" ref="AI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4" s="43" t="b">
        <v>0</v>
      </c>
      <c r="AK344" s="8" t="b">
        <v>1</v>
      </c>
      <c r="BB344"/>
      <c r="BC344"/>
      <c r="BD344"/>
    </row>
    <row r="345" spans="1:56">
      <c r="A345" s="2" t="s">
        <v>3059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5" t="str">
        <f>_xlfn.XLOOKUP(PROPERTIES[[#This Row],[VEHIDCODE]],CONTROL[VEHIDCODE],CONTROL[ENGLISH])</f>
        <v>TUDH Recife VLT Mobile 3</v>
      </c>
      <c r="F345" t="s">
        <v>597</v>
      </c>
      <c r="G345" s="45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8">
        <v>28</v>
      </c>
      <c r="R345">
        <v>1000</v>
      </c>
      <c r="S345">
        <v>80</v>
      </c>
      <c r="T345" s="25">
        <v>0</v>
      </c>
      <c r="U345" s="24">
        <f>IFERROR(PROPERTIES[[#This Row],[TE_STARTING_KN]]/(PROPERTIES[[#This Row],[WEIGHT]]*9.81),0)</f>
        <v>0</v>
      </c>
      <c r="V345" s="24">
        <v>0.24</v>
      </c>
      <c r="W345" s="21">
        <f>ROUND(IF(IFERROR(PROPERTIES[[#This Row],[TE_COEFFICIENT_CALC]],0)=0,PROPERTIES[[#This Row],[TE_COEFFICIENT_MANUAL]],PROPERTIES[[#This Row],[TE_COEFFICIENT_CALC]]),3)</f>
        <v>0.24</v>
      </c>
      <c r="X345" s="9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1">
        <v>182</v>
      </c>
      <c r="Z345" s="7">
        <v>8</v>
      </c>
      <c r="AA345" t="s">
        <v>246</v>
      </c>
      <c r="AB345" t="s">
        <v>238</v>
      </c>
      <c r="AC345" t="s">
        <v>238</v>
      </c>
      <c r="AD345" s="2" t="s">
        <v>238</v>
      </c>
      <c r="AE345" s="2" t="s">
        <v>253</v>
      </c>
      <c r="AF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5" s="2" t="str">
        <f>SUBSTITUTE(SUBSTITUTE(PROPERTIES[[#This Row],[PURCHASECOST_VALUE]], "PURCHASECOST_", ""), "_VALUE", "")</f>
        <v>METRO</v>
      </c>
      <c r="AI345" s="7" t="str" cm="1">
        <f t="array" ref="AI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5" s="43" t="b">
        <v>0</v>
      </c>
      <c r="AK345" s="8" t="b">
        <v>0</v>
      </c>
      <c r="BB345"/>
      <c r="BC345"/>
      <c r="BD345"/>
    </row>
    <row r="346" spans="1:56">
      <c r="A346" s="2" t="s">
        <v>3060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5" t="str">
        <f>_xlfn.XLOOKUP(PROPERTIES[[#This Row],[VEHIDCODE]],CONTROL[VEHIDCODE],CONTROL[ENGLISH])</f>
        <v>CAF Madrid Series 5000</v>
      </c>
      <c r="F346" t="s">
        <v>634</v>
      </c>
      <c r="G346" s="45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8">
        <v>32</v>
      </c>
      <c r="R346">
        <v>1100</v>
      </c>
      <c r="S346">
        <v>80</v>
      </c>
      <c r="T346" s="25">
        <v>0</v>
      </c>
      <c r="U346" s="24">
        <f>IFERROR(PROPERTIES[[#This Row],[TE_STARTING_KN]]/(PROPERTIES[[#This Row],[WEIGHT]]*9.81),0)</f>
        <v>0</v>
      </c>
      <c r="V346" s="24">
        <v>0.24</v>
      </c>
      <c r="W346" s="21">
        <f>ROUND(IF(IFERROR(PROPERTIES[[#This Row],[TE_COEFFICIENT_CALC]],0)=0,PROPERTIES[[#This Row],[TE_COEFFICIENT_MANUAL]],PROPERTIES[[#This Row],[TE_COEFFICIENT_CALC]]),3)</f>
        <v>0.24</v>
      </c>
      <c r="X346" s="9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1">
        <v>192</v>
      </c>
      <c r="Z346" s="7">
        <v>8</v>
      </c>
      <c r="AA346" t="s">
        <v>240</v>
      </c>
      <c r="AB346" t="s">
        <v>238</v>
      </c>
      <c r="AC346" t="s">
        <v>238</v>
      </c>
      <c r="AD346" s="2" t="s">
        <v>238</v>
      </c>
      <c r="AE346" s="2" t="s">
        <v>253</v>
      </c>
      <c r="AF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6" s="2" t="str">
        <f>SUBSTITUTE(SUBSTITUTE(PROPERTIES[[#This Row],[PURCHASECOST_VALUE]], "PURCHASECOST_", ""), "_VALUE", "")</f>
        <v>METRO</v>
      </c>
      <c r="AI346" s="7" t="str" cm="1">
        <f t="array" ref="AI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6" s="43" t="b">
        <v>0</v>
      </c>
      <c r="AK346" s="8" t="b">
        <v>0</v>
      </c>
      <c r="BB346"/>
      <c r="BC346"/>
      <c r="BD346"/>
    </row>
    <row r="347" spans="1:56">
      <c r="A347" s="2" t="s">
        <v>3061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5" t="str">
        <f>_xlfn.XLOOKUP(PROPERTIES[[#This Row],[VEHIDCODE]],CONTROL[VEHIDCODE],CONTROL[ENGLISH])</f>
        <v>CAF Rome S/300</v>
      </c>
      <c r="F347" t="s">
        <v>675</v>
      </c>
      <c r="G347" s="45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8">
        <v>31.5</v>
      </c>
      <c r="R347">
        <v>1650</v>
      </c>
      <c r="S347">
        <v>80</v>
      </c>
      <c r="T347" s="25">
        <v>0</v>
      </c>
      <c r="U347" s="24">
        <f>IFERROR(PROPERTIES[[#This Row],[TE_STARTING_KN]]/(PROPERTIES[[#This Row],[WEIGHT]]*9.81),0)</f>
        <v>0</v>
      </c>
      <c r="V347" s="24">
        <v>0.3</v>
      </c>
      <c r="W347" s="21">
        <f>ROUND(IF(IFERROR(PROPERTIES[[#This Row],[TE_COEFFICIENT_CALC]],0)=0,PROPERTIES[[#This Row],[TE_COEFFICIENT_MANUAL]],PROPERTIES[[#This Row],[TE_COEFFICIENT_CALC]]),3)</f>
        <v>0.3</v>
      </c>
      <c r="X347" s="9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1">
        <v>194</v>
      </c>
      <c r="Z347" s="7">
        <v>8</v>
      </c>
      <c r="AA347" t="s">
        <v>240</v>
      </c>
      <c r="AB347" t="s">
        <v>238</v>
      </c>
      <c r="AC347" t="s">
        <v>238</v>
      </c>
      <c r="AD347" s="2" t="s">
        <v>238</v>
      </c>
      <c r="AE347" s="2" t="s">
        <v>253</v>
      </c>
      <c r="AF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7" s="2" t="str">
        <f>SUBSTITUTE(SUBSTITUTE(PROPERTIES[[#This Row],[PURCHASECOST_VALUE]], "PURCHASECOST_", ""), "_VALUE", "")</f>
        <v>METRO</v>
      </c>
      <c r="AI347" s="7" t="str" cm="1">
        <f t="array" ref="AI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7" s="43" t="b">
        <v>0</v>
      </c>
      <c r="AK347" s="8" t="b">
        <v>0</v>
      </c>
      <c r="BB347"/>
      <c r="BC347"/>
      <c r="BD347"/>
    </row>
    <row r="348" spans="1:56">
      <c r="A348" s="2" t="s">
        <v>3062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5" t="str">
        <f>_xlfn.XLOOKUP(PROPERTIES[[#This Row],[VEHIDCODE]],CONTROL[VEHIDCODE],CONTROL[ENGLISH])</f>
        <v>CAF Algiers 2011 Stock</v>
      </c>
      <c r="F348" t="s">
        <v>628</v>
      </c>
      <c r="G348" s="45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8">
        <v>25.5</v>
      </c>
      <c r="R348">
        <v>1450</v>
      </c>
      <c r="S348">
        <v>80</v>
      </c>
      <c r="T348" s="25">
        <v>0</v>
      </c>
      <c r="U348" s="24">
        <f>IFERROR(PROPERTIES[[#This Row],[TE_STARTING_KN]]/(PROPERTIES[[#This Row],[WEIGHT]]*9.81),0)</f>
        <v>0</v>
      </c>
      <c r="V348" s="24">
        <v>0.3</v>
      </c>
      <c r="W348" s="21">
        <f>ROUND(IF(IFERROR(PROPERTIES[[#This Row],[TE_COEFFICIENT_CALC]],0)=0,PROPERTIES[[#This Row],[TE_COEFFICIENT_MANUAL]],PROPERTIES[[#This Row],[TE_COEFFICIENT_CALC]]),3)</f>
        <v>0.3</v>
      </c>
      <c r="X348" s="9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1">
        <v>215</v>
      </c>
      <c r="Z348" s="7">
        <v>7</v>
      </c>
      <c r="AA348" t="s">
        <v>242</v>
      </c>
      <c r="AB348" t="s">
        <v>238</v>
      </c>
      <c r="AC348" t="s">
        <v>238</v>
      </c>
      <c r="AD348" s="2" t="s">
        <v>238</v>
      </c>
      <c r="AE348" s="2" t="s">
        <v>253</v>
      </c>
      <c r="AF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8" s="2" t="str">
        <f>SUBSTITUTE(SUBSTITUTE(PROPERTIES[[#This Row],[PURCHASECOST_VALUE]], "PURCHASECOST_", ""), "_VALUE", "")</f>
        <v>METRO</v>
      </c>
      <c r="AI348" s="7" t="str" cm="1">
        <f t="array" ref="AI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8" s="43" t="b">
        <v>0</v>
      </c>
      <c r="AK348" s="8" t="b">
        <v>0</v>
      </c>
      <c r="BB348"/>
      <c r="BC348"/>
      <c r="BD348"/>
    </row>
    <row r="349" spans="1:56">
      <c r="A349" s="2" t="s">
        <v>3063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5" t="str">
        <f>_xlfn.XLOOKUP(PROPERTIES[[#This Row],[VEHIDCODE]],CONTROL[VEHIDCODE],CONTROL[ENGLISH])</f>
        <v>Stadler Berlin U-Bahn IK</v>
      </c>
      <c r="F349" t="s">
        <v>623</v>
      </c>
      <c r="G349" s="45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8">
        <v>21.5</v>
      </c>
      <c r="R349">
        <v>440</v>
      </c>
      <c r="S349">
        <v>80</v>
      </c>
      <c r="T349" s="25">
        <v>0</v>
      </c>
      <c r="U349" s="24">
        <f>IFERROR(PROPERTIES[[#This Row],[TE_STARTING_KN]]/(PROPERTIES[[#This Row],[WEIGHT]]*9.81),0)</f>
        <v>0</v>
      </c>
      <c r="V349" s="24">
        <v>0.22</v>
      </c>
      <c r="W349" s="21">
        <f>ROUND(IF(IFERROR(PROPERTIES[[#This Row],[TE_COEFFICIENT_CALC]],0)=0,PROPERTIES[[#This Row],[TE_COEFFICIENT_MANUAL]],PROPERTIES[[#This Row],[TE_COEFFICIENT_CALC]]),3)</f>
        <v>0.22</v>
      </c>
      <c r="X349" s="9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1">
        <v>145</v>
      </c>
      <c r="Z349" s="7">
        <v>8</v>
      </c>
      <c r="AA349" t="s">
        <v>239</v>
      </c>
      <c r="AB349" t="s">
        <v>238</v>
      </c>
      <c r="AC349" t="s">
        <v>238</v>
      </c>
      <c r="AD349" s="2" t="s">
        <v>238</v>
      </c>
      <c r="AE349" s="2" t="s">
        <v>253</v>
      </c>
      <c r="AF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9" s="2" t="str">
        <f>SUBSTITUTE(SUBSTITUTE(PROPERTIES[[#This Row],[PURCHASECOST_VALUE]], "PURCHASECOST_", ""), "_VALUE", "")</f>
        <v>METRO</v>
      </c>
      <c r="AI349" s="7" t="str" cm="1">
        <f t="array" ref="AI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9" s="43" t="b">
        <v>0</v>
      </c>
      <c r="AK349" s="8" t="b">
        <v>0</v>
      </c>
      <c r="BB349"/>
      <c r="BC349"/>
      <c r="BD349"/>
    </row>
    <row r="350" spans="1:56">
      <c r="A350" s="2" t="s">
        <v>3064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5" t="str">
        <f>_xlfn.XLOOKUP(PROPERTIES[[#This Row],[VEHIDCODE]],CONTROL[VEHIDCODE],CONTROL[ENGLISH])</f>
        <v>St. Louis Car Company Chicago L 6000 Series</v>
      </c>
      <c r="F350" t="s">
        <v>796</v>
      </c>
      <c r="G350" s="45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8">
        <v>21.5</v>
      </c>
      <c r="R350">
        <v>440</v>
      </c>
      <c r="S350">
        <v>80</v>
      </c>
      <c r="T350" s="25">
        <v>0</v>
      </c>
      <c r="U350" s="24">
        <f>IFERROR(PROPERTIES[[#This Row],[TE_STARTING_KN]]/(PROPERTIES[[#This Row],[WEIGHT]]*9.81),0)</f>
        <v>0</v>
      </c>
      <c r="V350" s="24">
        <v>0.22</v>
      </c>
      <c r="W350" s="21">
        <f>ROUND(IF(IFERROR(PROPERTIES[[#This Row],[TE_COEFFICIENT_CALC]],0)=0,PROPERTIES[[#This Row],[TE_COEFFICIENT_MANUAL]],PROPERTIES[[#This Row],[TE_COEFFICIENT_CALC]]),3)</f>
        <v>0.22</v>
      </c>
      <c r="X350" s="9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1">
        <v>130</v>
      </c>
      <c r="Z350" s="7">
        <v>7</v>
      </c>
      <c r="AA350" t="s">
        <v>244</v>
      </c>
      <c r="AB350" t="s">
        <v>238</v>
      </c>
      <c r="AC350" t="s">
        <v>238</v>
      </c>
      <c r="AD350" s="2" t="s">
        <v>238</v>
      </c>
      <c r="AE350" s="2" t="s">
        <v>253</v>
      </c>
      <c r="AF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0" s="2" t="str">
        <f>SUBSTITUTE(SUBSTITUTE(PROPERTIES[[#This Row],[PURCHASECOST_VALUE]], "PURCHASECOST_", ""), "_VALUE", "")</f>
        <v>METRO</v>
      </c>
      <c r="AI350" s="7" t="str" cm="1">
        <f t="array" ref="AI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0" s="43" t="b">
        <v>0</v>
      </c>
      <c r="AK350" s="8" t="b">
        <v>0</v>
      </c>
      <c r="BB350"/>
      <c r="BC350"/>
      <c r="BD350"/>
    </row>
    <row r="351" spans="1:56">
      <c r="A351" s="2" t="s">
        <v>3065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5" t="str">
        <f>_xlfn.XLOOKUP(PROPERTIES[[#This Row],[VEHIDCODE]],CONTROL[VEHIDCODE],CONTROL[ENGLISH])</f>
        <v>BRC&amp;W London 1903 Stock</v>
      </c>
      <c r="F351" t="s">
        <v>642</v>
      </c>
      <c r="G351" s="45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8">
        <v>29.5</v>
      </c>
      <c r="R351">
        <v>400</v>
      </c>
      <c r="S351">
        <v>55</v>
      </c>
      <c r="T351" s="25">
        <v>0</v>
      </c>
      <c r="U351" s="24">
        <f>IFERROR(PROPERTIES[[#This Row],[TE_STARTING_KN]]/(PROPERTIES[[#This Row],[WEIGHT]]*9.81),0)</f>
        <v>0</v>
      </c>
      <c r="V351" s="24">
        <v>0.18</v>
      </c>
      <c r="W351" s="21">
        <f>ROUND(IF(IFERROR(PROPERTIES[[#This Row],[TE_COEFFICIENT_CALC]],0)=0,PROPERTIES[[#This Row],[TE_COEFFICIENT_MANUAL]],PROPERTIES[[#This Row],[TE_COEFFICIENT_CALC]]),3)</f>
        <v>0.18</v>
      </c>
      <c r="X351" s="9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1">
        <v>125</v>
      </c>
      <c r="Z351" s="7">
        <v>8</v>
      </c>
      <c r="AA351" t="s">
        <v>243</v>
      </c>
      <c r="AB351" t="s">
        <v>238</v>
      </c>
      <c r="AC351" t="s">
        <v>238</v>
      </c>
      <c r="AD351" s="2" t="s">
        <v>238</v>
      </c>
      <c r="AE351" s="2" t="s">
        <v>253</v>
      </c>
      <c r="AF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1" s="2" t="str">
        <f>SUBSTITUTE(SUBSTITUTE(PROPERTIES[[#This Row],[PURCHASECOST_VALUE]], "PURCHASECOST_", ""), "_VALUE", "")</f>
        <v>METRO</v>
      </c>
      <c r="AI351" s="7" t="str" cm="1">
        <f t="array" ref="AI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1" s="43" t="b">
        <v>0</v>
      </c>
      <c r="AK351" s="8" t="b">
        <v>0</v>
      </c>
      <c r="BB351"/>
      <c r="BC351"/>
      <c r="BD351"/>
    </row>
    <row r="352" spans="1:56">
      <c r="A352" s="2" t="s">
        <v>3066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5" t="str">
        <f>_xlfn.XLOOKUP(PROPERTIES[[#This Row],[VEHIDCODE]],CONTROL[VEHIDCODE],CONTROL[ENGLISH])</f>
        <v>London 1938 Stock</v>
      </c>
      <c r="F352" t="s">
        <v>642</v>
      </c>
      <c r="G352" s="45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8">
        <v>25.5</v>
      </c>
      <c r="R352">
        <v>600</v>
      </c>
      <c r="S352">
        <v>72</v>
      </c>
      <c r="T352" s="25">
        <v>0</v>
      </c>
      <c r="U352" s="24">
        <f>IFERROR(PROPERTIES[[#This Row],[TE_STARTING_KN]]/(PROPERTIES[[#This Row],[WEIGHT]]*9.81),0)</f>
        <v>0</v>
      </c>
      <c r="V352" s="24">
        <v>0.2</v>
      </c>
      <c r="W352" s="21">
        <f>ROUND(IF(IFERROR(PROPERTIES[[#This Row],[TE_COEFFICIENT_CALC]],0)=0,PROPERTIES[[#This Row],[TE_COEFFICIENT_MANUAL]],PROPERTIES[[#This Row],[TE_COEFFICIENT_CALC]]),3)</f>
        <v>0.2</v>
      </c>
      <c r="X352" s="9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1">
        <v>120</v>
      </c>
      <c r="Z352" s="7">
        <v>7</v>
      </c>
      <c r="AA352" t="s">
        <v>243</v>
      </c>
      <c r="AB352" t="s">
        <v>238</v>
      </c>
      <c r="AC352" t="s">
        <v>238</v>
      </c>
      <c r="AD352" s="2" t="s">
        <v>238</v>
      </c>
      <c r="AE352" s="2" t="s">
        <v>253</v>
      </c>
      <c r="AF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2" s="2" t="str">
        <f>SUBSTITUTE(SUBSTITUTE(PROPERTIES[[#This Row],[PURCHASECOST_VALUE]], "PURCHASECOST_", ""), "_VALUE", "")</f>
        <v>METRO</v>
      </c>
      <c r="AI352" s="7" t="str" cm="1">
        <f t="array" ref="AI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2" s="43" t="b">
        <v>0</v>
      </c>
      <c r="AK352" s="8" t="b">
        <v>0</v>
      </c>
      <c r="BB352"/>
      <c r="BC352"/>
      <c r="BD352"/>
    </row>
    <row r="353" spans="1:56">
      <c r="A353" s="2" t="s">
        <v>3067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5" t="str">
        <f>_xlfn.XLOOKUP(PROPERTIES[[#This Row],[VEHIDCODE]],CONTROL[VEHIDCODE],CONTROL[ENGLISH])</f>
        <v>NER EF1</v>
      </c>
      <c r="F353" t="s">
        <v>642</v>
      </c>
      <c r="G353" s="45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8">
        <v>74</v>
      </c>
      <c r="R353">
        <v>1100</v>
      </c>
      <c r="S353">
        <v>40</v>
      </c>
      <c r="T353" s="25">
        <v>125</v>
      </c>
      <c r="U353" s="24">
        <f>IFERROR(PROPERTIES[[#This Row],[TE_STARTING_KN]]/(PROPERTIES[[#This Row],[WEIGHT]]*9.81),0)</f>
        <v>0.17219053916301622</v>
      </c>
      <c r="V353" s="24">
        <v>0</v>
      </c>
      <c r="W353" s="21">
        <f>ROUND(IF(IFERROR(PROPERTIES[[#This Row],[TE_COEFFICIENT_CALC]],0)=0,PROPERTIES[[#This Row],[TE_COEFFICIENT_MANUAL]],PROPERTIES[[#This Row],[TE_COEFFICIENT_CALC]]),3)</f>
        <v>0.17199999999999999</v>
      </c>
      <c r="X353" s="9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1">
        <v>0</v>
      </c>
      <c r="Z353" s="7">
        <v>0</v>
      </c>
      <c r="AA353" t="s">
        <v>243</v>
      </c>
      <c r="AB353" t="s">
        <v>238</v>
      </c>
      <c r="AC353" t="s">
        <v>238</v>
      </c>
      <c r="AD353" s="2" t="s">
        <v>238</v>
      </c>
      <c r="AE353" s="2" t="s">
        <v>253</v>
      </c>
      <c r="AF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3" s="2" t="str">
        <f>SUBSTITUTE(SUBSTITUTE(PROPERTIES[[#This Row],[PURCHASECOST_VALUE]], "PURCHASECOST_", ""), "_VALUE", "")</f>
        <v>ELECTRICENGINE</v>
      </c>
      <c r="AI353" s="7" t="str" cm="1">
        <f t="array" ref="AI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3" s="43" t="b">
        <v>0</v>
      </c>
      <c r="AK353" s="8" t="b">
        <v>0</v>
      </c>
      <c r="BB353"/>
      <c r="BC353"/>
      <c r="BD353"/>
    </row>
    <row r="354" spans="1:56">
      <c r="A354" s="2" t="s">
        <v>3068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5" t="str">
        <f>_xlfn.XLOOKUP(PROPERTIES[[#This Row],[VEHIDCODE]],CONTROL[VEHIDCODE],CONTROL[ENGLISH])</f>
        <v>JNR EB10</v>
      </c>
      <c r="F354" t="s">
        <v>679</v>
      </c>
      <c r="G354" s="45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8">
        <v>22.64</v>
      </c>
      <c r="R354">
        <v>360</v>
      </c>
      <c r="S354">
        <v>40</v>
      </c>
      <c r="T354" s="25">
        <v>38</v>
      </c>
      <c r="U354" s="24">
        <f>IFERROR(PROPERTIES[[#This Row],[TE_STARTING_KN]]/(PROPERTIES[[#This Row],[WEIGHT]]*9.81),0)</f>
        <v>0.17109533432028323</v>
      </c>
      <c r="V354" s="24">
        <v>0</v>
      </c>
      <c r="W354" s="21">
        <f>ROUND(IF(IFERROR(PROPERTIES[[#This Row],[TE_COEFFICIENT_CALC]],0)=0,PROPERTIES[[#This Row],[TE_COEFFICIENT_MANUAL]],PROPERTIES[[#This Row],[TE_COEFFICIENT_CALC]]),3)</f>
        <v>0.17100000000000001</v>
      </c>
      <c r="X354" s="9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1">
        <v>0</v>
      </c>
      <c r="Z354" s="7">
        <v>0</v>
      </c>
      <c r="AA354" t="s">
        <v>247</v>
      </c>
      <c r="AB354" t="s">
        <v>238</v>
      </c>
      <c r="AC354" t="s">
        <v>238</v>
      </c>
      <c r="AD354" s="2" t="s">
        <v>238</v>
      </c>
      <c r="AE354" s="2" t="s">
        <v>253</v>
      </c>
      <c r="AF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4" s="2" t="str">
        <f>SUBSTITUTE(SUBSTITUTE(PROPERTIES[[#This Row],[PURCHASECOST_VALUE]], "PURCHASECOST_", ""), "_VALUE", "")</f>
        <v>ELECTRICENGINE</v>
      </c>
      <c r="AI354" s="7" t="str" cm="1">
        <f t="array" ref="AI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4" s="43" t="b">
        <v>0</v>
      </c>
      <c r="AK354" s="8" t="b">
        <v>0</v>
      </c>
      <c r="BB354"/>
      <c r="BC354"/>
      <c r="BD354"/>
    </row>
    <row r="355" spans="1:56">
      <c r="A355" s="2" t="s">
        <v>3069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5" t="str">
        <f>_xlfn.XLOOKUP(PROPERTIES[[#This Row],[VEHIDCODE]],CONTROL[VEHIDCODE],CONTROL[ENGLISH])</f>
        <v>Hitachi/Kawasaki EF55</v>
      </c>
      <c r="F355" t="s">
        <v>679</v>
      </c>
      <c r="G355" s="45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8">
        <v>100</v>
      </c>
      <c r="R355">
        <v>1810</v>
      </c>
      <c r="S355">
        <v>95</v>
      </c>
      <c r="T355" s="25">
        <v>61.7</v>
      </c>
      <c r="U355" s="24">
        <f>IFERROR(PROPERTIES[[#This Row],[TE_STARTING_KN]]/(PROPERTIES[[#This Row],[WEIGHT]]*9.81),0)</f>
        <v>6.2895005096839957E-2</v>
      </c>
      <c r="V355" s="24">
        <v>0</v>
      </c>
      <c r="W355" s="21">
        <f>ROUND(IF(IFERROR(PROPERTIES[[#This Row],[TE_COEFFICIENT_CALC]],0)=0,PROPERTIES[[#This Row],[TE_COEFFICIENT_MANUAL]],PROPERTIES[[#This Row],[TE_COEFFICIENT_CALC]]),3)</f>
        <v>6.3E-2</v>
      </c>
      <c r="X355" s="9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1">
        <v>0</v>
      </c>
      <c r="Z355" s="7">
        <v>0</v>
      </c>
      <c r="AA355" t="s">
        <v>247</v>
      </c>
      <c r="AB355" t="s">
        <v>238</v>
      </c>
      <c r="AC355" t="s">
        <v>238</v>
      </c>
      <c r="AD355" s="2" t="s">
        <v>238</v>
      </c>
      <c r="AE355" s="2" t="s">
        <v>253</v>
      </c>
      <c r="AF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5" s="2" t="str">
        <f>SUBSTITUTE(SUBSTITUTE(PROPERTIES[[#This Row],[PURCHASECOST_VALUE]], "PURCHASECOST_", ""), "_VALUE", "")</f>
        <v>ELECTRICENGINE</v>
      </c>
      <c r="AI355" s="7" t="str" cm="1">
        <f t="array" ref="AI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55" s="43" t="b">
        <v>0</v>
      </c>
      <c r="AK355" s="8" t="b">
        <v>0</v>
      </c>
      <c r="BB355"/>
      <c r="BC355"/>
      <c r="BD355"/>
    </row>
    <row r="356" spans="1:56">
      <c r="A356" s="2" t="s">
        <v>3070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5" t="str">
        <f>_xlfn.XLOOKUP(PROPERTIES[[#This Row],[VEHIDCODE]],CONTROL[VEHIDCODE],CONTROL[ENGLISH])</f>
        <v>SLM NS 1000</v>
      </c>
      <c r="F356" t="s">
        <v>731</v>
      </c>
      <c r="G356" s="45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8">
        <v>100</v>
      </c>
      <c r="R356">
        <v>3749</v>
      </c>
      <c r="S356">
        <v>100</v>
      </c>
      <c r="T356" s="25">
        <v>177</v>
      </c>
      <c r="U356" s="24">
        <f>IFERROR(PROPERTIES[[#This Row],[TE_STARTING_KN]]/(PROPERTIES[[#This Row],[WEIGHT]]*9.81),0)</f>
        <v>0.18042813455657492</v>
      </c>
      <c r="V356" s="24">
        <v>0</v>
      </c>
      <c r="W356" s="21">
        <f>ROUND(IF(IFERROR(PROPERTIES[[#This Row],[TE_COEFFICIENT_CALC]],0)=0,PROPERTIES[[#This Row],[TE_COEFFICIENT_MANUAL]],PROPERTIES[[#This Row],[TE_COEFFICIENT_CALC]]),3)</f>
        <v>0.18</v>
      </c>
      <c r="X356" s="9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1">
        <v>0</v>
      </c>
      <c r="Z356" s="7">
        <v>0</v>
      </c>
      <c r="AA356" t="s">
        <v>239</v>
      </c>
      <c r="AB356" t="s">
        <v>238</v>
      </c>
      <c r="AC356" t="s">
        <v>238</v>
      </c>
      <c r="AD356" s="2" t="s">
        <v>238</v>
      </c>
      <c r="AE356" s="2" t="s">
        <v>253</v>
      </c>
      <c r="AF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6" s="2" t="str">
        <f>SUBSTITUTE(SUBSTITUTE(PROPERTIES[[#This Row],[PURCHASECOST_VALUE]], "PURCHASECOST_", ""), "_VALUE", "")</f>
        <v>ELECTRICENGINE</v>
      </c>
      <c r="AI356" s="7" t="str" cm="1">
        <f t="array" ref="AI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56" s="43" t="b">
        <v>0</v>
      </c>
      <c r="AK356" s="8" t="b">
        <v>0</v>
      </c>
      <c r="BB356"/>
      <c r="BC356"/>
      <c r="BD356"/>
    </row>
    <row r="357" spans="1:56">
      <c r="A357" s="2" t="s">
        <v>3071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5" t="str">
        <f>_xlfn.XLOOKUP(PROPERTIES[[#This Row],[VEHIDCODE]],CONTROL[VEHIDCODE],CONTROL[ENGLISH])</f>
        <v>Alsthom BB 7200/NS 1600</v>
      </c>
      <c r="F357" t="s">
        <v>731</v>
      </c>
      <c r="G357" s="45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8">
        <v>83</v>
      </c>
      <c r="R357">
        <v>6200</v>
      </c>
      <c r="S357">
        <v>160</v>
      </c>
      <c r="T357" s="25">
        <v>294</v>
      </c>
      <c r="U357" s="24">
        <f>IFERROR(PROPERTIES[[#This Row],[TE_STARTING_KN]]/(PROPERTIES[[#This Row],[WEIGHT]]*9.81),0)</f>
        <v>0.36107733687041743</v>
      </c>
      <c r="V357" s="24">
        <v>0</v>
      </c>
      <c r="W357" s="21">
        <f>ROUND(IF(IFERROR(PROPERTIES[[#This Row],[TE_COEFFICIENT_CALC]],0)=0,PROPERTIES[[#This Row],[TE_COEFFICIENT_MANUAL]],PROPERTIES[[#This Row],[TE_COEFFICIENT_CALC]]),3)</f>
        <v>0.36099999999999999</v>
      </c>
      <c r="X357" s="9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1">
        <v>0</v>
      </c>
      <c r="Z357" s="7">
        <v>0</v>
      </c>
      <c r="AA357" t="s">
        <v>239</v>
      </c>
      <c r="AB357" t="s">
        <v>238</v>
      </c>
      <c r="AC357" t="s">
        <v>238</v>
      </c>
      <c r="AD357" s="2" t="s">
        <v>238</v>
      </c>
      <c r="AE357" s="2" t="s">
        <v>253</v>
      </c>
      <c r="AF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7" s="2" t="str">
        <f>SUBSTITUTE(SUBSTITUTE(PROPERTIES[[#This Row],[PURCHASECOST_VALUE]], "PURCHASECOST_", ""), "_VALUE", "")</f>
        <v>ELECTRICENGINE</v>
      </c>
      <c r="AI357" s="7" t="str" cm="1">
        <f t="array" ref="AI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57" s="43" t="b">
        <v>0</v>
      </c>
      <c r="AK357" s="8" t="b">
        <v>0</v>
      </c>
      <c r="BB357"/>
      <c r="BC357"/>
      <c r="BD357"/>
    </row>
    <row r="358" spans="1:56">
      <c r="A358" s="2" t="s">
        <v>3072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5" t="str">
        <f>_xlfn.XLOOKUP(PROPERTIES[[#This Row],[VEHIDCODE]],CONTROL[VEHIDCODE],CONTROL[ENGLISH])</f>
        <v>Victorian Railways E</v>
      </c>
      <c r="F358" t="s">
        <v>580</v>
      </c>
      <c r="G358" s="45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8">
        <v>56</v>
      </c>
      <c r="R358">
        <v>620</v>
      </c>
      <c r="S358">
        <v>65</v>
      </c>
      <c r="T358" s="25">
        <v>109</v>
      </c>
      <c r="U358" s="24">
        <f>IFERROR(PROPERTIES[[#This Row],[TE_STARTING_KN]]/(PROPERTIES[[#This Row],[WEIGHT]]*9.81),0)</f>
        <v>0.1984126984126984</v>
      </c>
      <c r="V358" s="24">
        <v>0</v>
      </c>
      <c r="W358" s="21">
        <f>ROUND(IF(IFERROR(PROPERTIES[[#This Row],[TE_COEFFICIENT_CALC]],0)=0,PROPERTIES[[#This Row],[TE_COEFFICIENT_MANUAL]],PROPERTIES[[#This Row],[TE_COEFFICIENT_CALC]]),3)</f>
        <v>0.19800000000000001</v>
      </c>
      <c r="X358" s="9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1">
        <v>0</v>
      </c>
      <c r="Z358" s="7">
        <v>0</v>
      </c>
      <c r="AA358" t="s">
        <v>241</v>
      </c>
      <c r="AB358" t="s">
        <v>238</v>
      </c>
      <c r="AC358" t="s">
        <v>238</v>
      </c>
      <c r="AD358" s="2" t="s">
        <v>238</v>
      </c>
      <c r="AE358" s="2" t="s">
        <v>253</v>
      </c>
      <c r="AF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8" s="2" t="str">
        <f>SUBSTITUTE(SUBSTITUTE(PROPERTIES[[#This Row],[PURCHASECOST_VALUE]], "PURCHASECOST_", ""), "_VALUE", "")</f>
        <v>ELECTRICENGINE</v>
      </c>
      <c r="AI358" s="7" t="str" cm="1">
        <f t="array" ref="AI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58" s="43" t="b">
        <v>0</v>
      </c>
      <c r="AK358" s="8" t="b">
        <v>0</v>
      </c>
      <c r="BB358"/>
      <c r="BC358"/>
      <c r="BD358"/>
    </row>
    <row r="359" spans="1:56">
      <c r="A359" s="2" t="s">
        <v>3073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5" t="str">
        <f>_xlfn.XLOOKUP(PROPERTIES[[#This Row],[VEHIDCODE]],CONTROL[VEHIDCODE],CONTROL[ENGLISH])</f>
        <v>British Thomson-Houston ES1</v>
      </c>
      <c r="F359" t="s">
        <v>642</v>
      </c>
      <c r="G359" s="45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8">
        <v>57</v>
      </c>
      <c r="R359">
        <v>640</v>
      </c>
      <c r="S359">
        <v>43</v>
      </c>
      <c r="T359" s="25">
        <v>111.2</v>
      </c>
      <c r="U359" s="24">
        <f>IFERROR(PROPERTIES[[#This Row],[TE_STARTING_KN]]/(PROPERTIES[[#This Row],[WEIGHT]]*9.81),0)</f>
        <v>0.19886617665468459</v>
      </c>
      <c r="V359" s="24">
        <v>0</v>
      </c>
      <c r="W359" s="21">
        <f>ROUND(IF(IFERROR(PROPERTIES[[#This Row],[TE_COEFFICIENT_CALC]],0)=0,PROPERTIES[[#This Row],[TE_COEFFICIENT_MANUAL]],PROPERTIES[[#This Row],[TE_COEFFICIENT_CALC]]),3)</f>
        <v>0.19900000000000001</v>
      </c>
      <c r="X359" s="9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1">
        <v>0</v>
      </c>
      <c r="Z359" s="7">
        <v>0</v>
      </c>
      <c r="AA359" t="s">
        <v>243</v>
      </c>
      <c r="AB359" t="s">
        <v>238</v>
      </c>
      <c r="AC359" t="s">
        <v>238</v>
      </c>
      <c r="AD359" s="2" t="s">
        <v>238</v>
      </c>
      <c r="AE359" s="2" t="s">
        <v>253</v>
      </c>
      <c r="AF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9" s="2" t="str">
        <f>SUBSTITUTE(SUBSTITUTE(PROPERTIES[[#This Row],[PURCHASECOST_VALUE]], "PURCHASECOST_", ""), "_VALUE", "")</f>
        <v>ELECTRICENGINE</v>
      </c>
      <c r="AI359" s="7" t="str" cm="1">
        <f t="array" ref="AI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9" s="43" t="b">
        <v>0</v>
      </c>
      <c r="AK359" s="8" t="b">
        <v>0</v>
      </c>
      <c r="BB359"/>
      <c r="BC359"/>
      <c r="BD359"/>
    </row>
    <row r="360" spans="1:56">
      <c r="A360" s="2" t="s">
        <v>3074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5" t="str">
        <f>_xlfn.XLOOKUP(PROPERTIES[[#This Row],[VEHIDCODE]],CONTROL[VEHIDCODE],CONTROL[ENGLISH])</f>
        <v>ALCO-GE NYC S-Motor S1</v>
      </c>
      <c r="F360" t="s">
        <v>796</v>
      </c>
      <c r="G360" s="45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8">
        <v>103</v>
      </c>
      <c r="R360">
        <v>2200</v>
      </c>
      <c r="S360">
        <v>97</v>
      </c>
      <c r="T360" s="25">
        <v>160</v>
      </c>
      <c r="U360" s="24">
        <f>IFERROR(PROPERTIES[[#This Row],[TE_STARTING_KN]]/(PROPERTIES[[#This Row],[WEIGHT]]*9.81),0)</f>
        <v>0.15834842591767861</v>
      </c>
      <c r="V360" s="24">
        <v>0</v>
      </c>
      <c r="W360" s="21">
        <f>ROUND(IF(IFERROR(PROPERTIES[[#This Row],[TE_COEFFICIENT_CALC]],0)=0,PROPERTIES[[#This Row],[TE_COEFFICIENT_MANUAL]],PROPERTIES[[#This Row],[TE_COEFFICIENT_CALC]]),3)</f>
        <v>0.158</v>
      </c>
      <c r="X360" s="9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1">
        <v>0</v>
      </c>
      <c r="Z360" s="7">
        <v>0</v>
      </c>
      <c r="AA360" t="s">
        <v>244</v>
      </c>
      <c r="AB360" t="s">
        <v>238</v>
      </c>
      <c r="AC360" t="s">
        <v>238</v>
      </c>
      <c r="AD360" s="2" t="s">
        <v>238</v>
      </c>
      <c r="AE360" s="2" t="s">
        <v>253</v>
      </c>
      <c r="AF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0" s="2" t="str">
        <f>SUBSTITUTE(SUBSTITUTE(PROPERTIES[[#This Row],[PURCHASECOST_VALUE]], "PURCHASECOST_", ""), "_VALUE", "")</f>
        <v>ELECTRICENGINE</v>
      </c>
      <c r="AI360" s="7" t="str" cm="1">
        <f t="array" ref="AI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0" s="43" t="b">
        <v>0</v>
      </c>
      <c r="AK360" s="8" t="b">
        <v>0</v>
      </c>
      <c r="BB360"/>
      <c r="BC360"/>
      <c r="BD360"/>
    </row>
    <row r="361" spans="1:56">
      <c r="A361" s="2" t="s">
        <v>3075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5" t="str">
        <f>_xlfn.XLOOKUP(PROPERTIES[[#This Row],[VEHIDCODE]],CONTROL[VEHIDCODE],CONTROL[ENGLISH])</f>
        <v>Nippon Sharyo DeKi 400</v>
      </c>
      <c r="F361" t="s">
        <v>679</v>
      </c>
      <c r="G361" s="45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8">
        <v>40</v>
      </c>
      <c r="R361">
        <v>482</v>
      </c>
      <c r="S361">
        <v>28</v>
      </c>
      <c r="T361" s="25">
        <v>78</v>
      </c>
      <c r="U361" s="24">
        <f>IFERROR(PROPERTIES[[#This Row],[TE_STARTING_KN]]/(PROPERTIES[[#This Row],[WEIGHT]]*9.81),0)</f>
        <v>0.19877675840978593</v>
      </c>
      <c r="V361" s="24">
        <v>0</v>
      </c>
      <c r="W361" s="21">
        <f>ROUND(IF(IFERROR(PROPERTIES[[#This Row],[TE_COEFFICIENT_CALC]],0)=0,PROPERTIES[[#This Row],[TE_COEFFICIENT_MANUAL]],PROPERTIES[[#This Row],[TE_COEFFICIENT_CALC]]),3)</f>
        <v>0.19900000000000001</v>
      </c>
      <c r="X361" s="9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1">
        <v>0</v>
      </c>
      <c r="Z361" s="7">
        <v>0</v>
      </c>
      <c r="AA361" t="s">
        <v>247</v>
      </c>
      <c r="AB361" t="s">
        <v>238</v>
      </c>
      <c r="AC361" t="s">
        <v>238</v>
      </c>
      <c r="AD361" s="2" t="s">
        <v>238</v>
      </c>
      <c r="AE361" s="2" t="s">
        <v>253</v>
      </c>
      <c r="AF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1" s="2" t="str">
        <f>SUBSTITUTE(SUBSTITUTE(PROPERTIES[[#This Row],[PURCHASECOST_VALUE]], "PURCHASECOST_", ""), "_VALUE", "")</f>
        <v>ELECTRICENGINE</v>
      </c>
      <c r="AI361" s="7" t="str" cm="1">
        <f t="array" ref="AI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61" s="43" t="b">
        <v>0</v>
      </c>
      <c r="AK361" s="8" t="b">
        <v>0</v>
      </c>
      <c r="BB361"/>
      <c r="BC361"/>
      <c r="BD361"/>
    </row>
    <row r="362" spans="1:56">
      <c r="A362" s="2" t="s">
        <v>3076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5" t="str">
        <f>_xlfn.XLOOKUP(PROPERTIES[[#This Row],[VEHIDCODE]],CONTROL[VEHIDCODE],CONTROL[ENGLISH])</f>
        <v>Vulcan Foundry-SLM EF/1</v>
      </c>
      <c r="F362" t="s">
        <v>670</v>
      </c>
      <c r="G362" s="45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8">
        <v>123</v>
      </c>
      <c r="R362">
        <v>2600</v>
      </c>
      <c r="S362">
        <v>80</v>
      </c>
      <c r="T362" s="25">
        <v>300</v>
      </c>
      <c r="U362" s="24">
        <f>IFERROR(PROPERTIES[[#This Row],[TE_STARTING_KN]]/(PROPERTIES[[#This Row],[WEIGHT]]*9.81),0)</f>
        <v>0.24862633947440391</v>
      </c>
      <c r="V362" s="24">
        <v>0</v>
      </c>
      <c r="W362" s="21">
        <f>ROUND(IF(IFERROR(PROPERTIES[[#This Row],[TE_COEFFICIENT_CALC]],0)=0,PROPERTIES[[#This Row],[TE_COEFFICIENT_MANUAL]],PROPERTIES[[#This Row],[TE_COEFFICIENT_CALC]]),3)</f>
        <v>0.249</v>
      </c>
      <c r="X362" s="9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1">
        <v>0</v>
      </c>
      <c r="Z362" s="7">
        <v>0</v>
      </c>
      <c r="AA362" t="s">
        <v>247</v>
      </c>
      <c r="AB362" t="s">
        <v>238</v>
      </c>
      <c r="AC362" t="s">
        <v>238</v>
      </c>
      <c r="AD362" s="2" t="s">
        <v>238</v>
      </c>
      <c r="AE362" s="2" t="s">
        <v>253</v>
      </c>
      <c r="AF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2" s="2" t="str">
        <f>SUBSTITUTE(SUBSTITUTE(PROPERTIES[[#This Row],[PURCHASECOST_VALUE]], "PURCHASECOST_", ""), "_VALUE", "")</f>
        <v>ELECTRICENGINE</v>
      </c>
      <c r="AI362" s="7" t="str" cm="1">
        <f t="array" ref="AI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2" s="43" t="b">
        <v>0</v>
      </c>
      <c r="AK362" s="8" t="b">
        <v>0</v>
      </c>
      <c r="BB362"/>
      <c r="BC362"/>
      <c r="BD362"/>
    </row>
    <row r="363" spans="1:56">
      <c r="A363" s="2" t="s">
        <v>3077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5" t="str">
        <f>_xlfn.XLOOKUP(PROPERTIES[[#This Row],[VEHIDCODE]],CONTROL[VEHIDCODE],CONTROL[ENGLISH])</f>
        <v>Jeumont-Schneider BB 9004</v>
      </c>
      <c r="F363" t="s">
        <v>641</v>
      </c>
      <c r="G363" s="45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8">
        <v>83</v>
      </c>
      <c r="R363">
        <v>4260</v>
      </c>
      <c r="S363">
        <v>140</v>
      </c>
      <c r="T363" s="25">
        <v>235</v>
      </c>
      <c r="U363" s="24">
        <f>IFERROR(PROPERTIES[[#This Row],[TE_STARTING_KN]]/(PROPERTIES[[#This Row],[WEIGHT]]*9.81),0)</f>
        <v>0.28861623865492553</v>
      </c>
      <c r="V363" s="24">
        <v>0</v>
      </c>
      <c r="W363" s="21">
        <f>ROUND(IF(IFERROR(PROPERTIES[[#This Row],[TE_COEFFICIENT_CALC]],0)=0,PROPERTIES[[#This Row],[TE_COEFFICIENT_MANUAL]],PROPERTIES[[#This Row],[TE_COEFFICIENT_CALC]]),3)</f>
        <v>0.28899999999999998</v>
      </c>
      <c r="X363" s="9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1">
        <v>0</v>
      </c>
      <c r="Z363" s="7">
        <v>0</v>
      </c>
      <c r="AA363" t="s">
        <v>239</v>
      </c>
      <c r="AB363" t="s">
        <v>238</v>
      </c>
      <c r="AC363" t="s">
        <v>238</v>
      </c>
      <c r="AD363" s="2" t="s">
        <v>238</v>
      </c>
      <c r="AE363" s="2" t="s">
        <v>253</v>
      </c>
      <c r="AF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3" s="2" t="str">
        <f>SUBSTITUTE(SUBSTITUTE(PROPERTIES[[#This Row],[PURCHASECOST_VALUE]], "PURCHASECOST_", ""), "_VALUE", "")</f>
        <v>ELECTRICENGINE</v>
      </c>
      <c r="AI363" s="7" t="str" cm="1">
        <f t="array" ref="AI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3" s="43" t="b">
        <v>0</v>
      </c>
      <c r="AK363" s="8" t="b">
        <v>0</v>
      </c>
      <c r="BB363"/>
      <c r="BC363"/>
      <c r="BD363"/>
    </row>
    <row r="364" spans="1:56">
      <c r="A364" s="2" t="s">
        <v>3078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5" t="str">
        <f>_xlfn.XLOOKUP(PROPERTIES[[#This Row],[VEHIDCODE]],CONTROL[VEHIDCODE],CONTROL[ENGLISH])</f>
        <v>Werkspoor ESS 3200</v>
      </c>
      <c r="F364" t="s">
        <v>666</v>
      </c>
      <c r="G364" s="45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8">
        <v>69</v>
      </c>
      <c r="R364">
        <v>1026</v>
      </c>
      <c r="S364">
        <v>120</v>
      </c>
      <c r="T364" s="25">
        <v>0</v>
      </c>
      <c r="U364" s="24">
        <f>IFERROR(PROPERTIES[[#This Row],[TE_STARTING_KN]]/(PROPERTIES[[#This Row],[WEIGHT]]*9.81),0)</f>
        <v>0</v>
      </c>
      <c r="V364" s="24">
        <v>0.23</v>
      </c>
      <c r="W364" s="21">
        <f>ROUND(IF(IFERROR(PROPERTIES[[#This Row],[TE_COEFFICIENT_CALC]],0)=0,PROPERTIES[[#This Row],[TE_COEFFICIENT_MANUAL]],PROPERTIES[[#This Row],[TE_COEFFICIENT_CALC]]),3)</f>
        <v>0.23</v>
      </c>
      <c r="X364" s="9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1">
        <v>0</v>
      </c>
      <c r="Z364" s="7">
        <v>0</v>
      </c>
      <c r="AA364" t="s">
        <v>241</v>
      </c>
      <c r="AB364" t="s">
        <v>238</v>
      </c>
      <c r="AC364" t="s">
        <v>238</v>
      </c>
      <c r="AD364" s="2" t="s">
        <v>238</v>
      </c>
      <c r="AE364" s="2" t="s">
        <v>253</v>
      </c>
      <c r="AF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4" s="2" t="str">
        <f>SUBSTITUTE(SUBSTITUTE(PROPERTIES[[#This Row],[PURCHASECOST_VALUE]], "PURCHASECOST_", ""), "_VALUE", "")</f>
        <v>ELECTRICENGINE</v>
      </c>
      <c r="AI364" s="7" t="str" cm="1">
        <f t="array" ref="AI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64" s="43" t="b">
        <v>0</v>
      </c>
      <c r="AK364" s="8" t="b">
        <v>0</v>
      </c>
      <c r="BB364"/>
      <c r="BC364"/>
      <c r="BD364"/>
    </row>
    <row r="365" spans="1:56">
      <c r="A365" s="2" t="s">
        <v>3079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5" t="str">
        <f>_xlfn.XLOOKUP(PROPERTIES[[#This Row],[VEHIDCODE]],CONTROL[VEHIDCODE],CONTROL[ENGLISH])</f>
        <v>Metropolitan-Vickers EM2</v>
      </c>
      <c r="F365" t="s">
        <v>642</v>
      </c>
      <c r="G365" s="45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8">
        <v>104</v>
      </c>
      <c r="R365">
        <v>2490</v>
      </c>
      <c r="S365">
        <v>145</v>
      </c>
      <c r="T365" s="25">
        <v>200</v>
      </c>
      <c r="U365" s="24">
        <f>IFERROR(PROPERTIES[[#This Row],[TE_STARTING_KN]]/(PROPERTIES[[#This Row],[WEIGHT]]*9.81),0)</f>
        <v>0.19603230612404923</v>
      </c>
      <c r="V365" s="24">
        <v>0</v>
      </c>
      <c r="W365" s="21">
        <f>ROUND(IF(IFERROR(PROPERTIES[[#This Row],[TE_COEFFICIENT_CALC]],0)=0,PROPERTIES[[#This Row],[TE_COEFFICIENT_MANUAL]],PROPERTIES[[#This Row],[TE_COEFFICIENT_CALC]]),3)</f>
        <v>0.19600000000000001</v>
      </c>
      <c r="X365" s="9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1">
        <v>0</v>
      </c>
      <c r="Z365" s="7">
        <v>0</v>
      </c>
      <c r="AA365" t="s">
        <v>243</v>
      </c>
      <c r="AB365" t="s">
        <v>238</v>
      </c>
      <c r="AC365" t="s">
        <v>238</v>
      </c>
      <c r="AD365" s="2" t="s">
        <v>238</v>
      </c>
      <c r="AE365" s="2" t="s">
        <v>253</v>
      </c>
      <c r="AF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5" s="2" t="str">
        <f>SUBSTITUTE(SUBSTITUTE(PROPERTIES[[#This Row],[PURCHASECOST_VALUE]], "PURCHASECOST_", ""), "_VALUE", "")</f>
        <v>ELECTRICENGINE</v>
      </c>
      <c r="AI365" s="7" t="str" cm="1">
        <f t="array" ref="AI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5" s="43" t="b">
        <v>0</v>
      </c>
      <c r="AK365" s="8" t="b">
        <v>0</v>
      </c>
      <c r="BB365"/>
      <c r="BC365"/>
      <c r="BD365"/>
    </row>
    <row r="366" spans="1:56">
      <c r="A366" s="2" t="s">
        <v>3080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5" t="str">
        <f>_xlfn.XLOOKUP(PROPERTIES[[#This Row],[VEHIDCODE]],CONTROL[VEHIDCODE],CONTROL[ENGLISH])</f>
        <v>NER EE1</v>
      </c>
      <c r="F366" t="s">
        <v>642</v>
      </c>
      <c r="G366" s="45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8">
        <v>111</v>
      </c>
      <c r="R366">
        <v>1800</v>
      </c>
      <c r="S366">
        <v>105</v>
      </c>
      <c r="T366" s="25">
        <v>126.4</v>
      </c>
      <c r="U366" s="24">
        <f>IFERROR(PROPERTIES[[#This Row],[TE_STARTING_KN]]/(PROPERTIES[[#This Row],[WEIGHT]]*9.81),0)</f>
        <v>0.11607938213442801</v>
      </c>
      <c r="V366" s="24">
        <v>0</v>
      </c>
      <c r="W366" s="21">
        <f>ROUND(IF(IFERROR(PROPERTIES[[#This Row],[TE_COEFFICIENT_CALC]],0)=0,PROPERTIES[[#This Row],[TE_COEFFICIENT_MANUAL]],PROPERTIES[[#This Row],[TE_COEFFICIENT_CALC]]),3)</f>
        <v>0.11600000000000001</v>
      </c>
      <c r="X366" s="9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1">
        <v>0</v>
      </c>
      <c r="Z366" s="7">
        <v>0</v>
      </c>
      <c r="AA366" t="s">
        <v>243</v>
      </c>
      <c r="AB366" t="s">
        <v>238</v>
      </c>
      <c r="AC366" t="s">
        <v>238</v>
      </c>
      <c r="AD366" s="2" t="s">
        <v>238</v>
      </c>
      <c r="AE366" s="2" t="s">
        <v>253</v>
      </c>
      <c r="AF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6" s="2" t="str">
        <f>SUBSTITUTE(SUBSTITUTE(PROPERTIES[[#This Row],[PURCHASECOST_VALUE]], "PURCHASECOST_", ""), "_VALUE", "")</f>
        <v>ELECTRICENGINE</v>
      </c>
      <c r="AI366" s="7" t="str" cm="1">
        <f t="array" ref="AI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6" s="43" t="b">
        <v>0</v>
      </c>
      <c r="AK366" s="8" t="b">
        <v>0</v>
      </c>
      <c r="BB366"/>
      <c r="BC366"/>
      <c r="BD366"/>
    </row>
    <row r="367" spans="1:56">
      <c r="A367" s="2" t="s">
        <v>3081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5" t="str">
        <f>_xlfn.XLOOKUP(PROPERTIES[[#This Row],[VEHIDCODE]],CONTROL[VEHIDCODE],CONTROL[ENGLISH])</f>
        <v>GE ES-2</v>
      </c>
      <c r="F367" t="s">
        <v>796</v>
      </c>
      <c r="G367" s="45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8">
        <v>74</v>
      </c>
      <c r="R367">
        <v>670</v>
      </c>
      <c r="S367">
        <v>72</v>
      </c>
      <c r="T367" s="25">
        <v>0</v>
      </c>
      <c r="U367" s="24">
        <f>IFERROR(PROPERTIES[[#This Row],[TE_STARTING_KN]]/(PROPERTIES[[#This Row],[WEIGHT]]*9.81),0)</f>
        <v>0</v>
      </c>
      <c r="V367" s="24">
        <v>0.18</v>
      </c>
      <c r="W367" s="21">
        <f>ROUND(IF(IFERROR(PROPERTIES[[#This Row],[TE_COEFFICIENT_CALC]],0)=0,PROPERTIES[[#This Row],[TE_COEFFICIENT_MANUAL]],PROPERTIES[[#This Row],[TE_COEFFICIENT_CALC]]),3)</f>
        <v>0.18</v>
      </c>
      <c r="X367" s="9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1">
        <v>0</v>
      </c>
      <c r="Z367" s="7">
        <v>0</v>
      </c>
      <c r="AA367" t="s">
        <v>244</v>
      </c>
      <c r="AB367" t="s">
        <v>238</v>
      </c>
      <c r="AC367" t="s">
        <v>238</v>
      </c>
      <c r="AD367" s="2" t="s">
        <v>238</v>
      </c>
      <c r="AE367" s="2" t="s">
        <v>253</v>
      </c>
      <c r="AF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7" s="2" t="str">
        <f>SUBSTITUTE(SUBSTITUTE(PROPERTIES[[#This Row],[PURCHASECOST_VALUE]], "PURCHASECOST_", ""), "_VALUE", "")</f>
        <v>ELECTRICENGINE</v>
      </c>
      <c r="AI367" s="7" t="str" cm="1">
        <f t="array" ref="AI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67" s="43" t="b">
        <v>0</v>
      </c>
      <c r="AK367" s="8" t="b">
        <v>0</v>
      </c>
      <c r="BB367"/>
      <c r="BC367"/>
      <c r="BD367"/>
    </row>
    <row r="368" spans="1:56">
      <c r="A368" s="2" t="s">
        <v>3082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5" t="str">
        <f>_xlfn.XLOOKUP(PROPERTIES[[#This Row],[VEHIDCODE]],CONTROL[VEHIDCODE],CONTROL[ENGLISH])</f>
        <v>GE 2-4-8-0+0-8-4-2 EP2</v>
      </c>
      <c r="F368" t="s">
        <v>796</v>
      </c>
      <c r="G368" s="45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8">
        <v>240</v>
      </c>
      <c r="R368">
        <v>4440</v>
      </c>
      <c r="S368">
        <v>113</v>
      </c>
      <c r="T368" s="25">
        <v>516</v>
      </c>
      <c r="U368" s="24">
        <f>IFERROR(PROPERTIES[[#This Row],[TE_STARTING_KN]]/(PROPERTIES[[#This Row],[WEIGHT]]*9.81),0)</f>
        <v>0.21916411824668705</v>
      </c>
      <c r="V368" s="24">
        <v>0</v>
      </c>
      <c r="W368" s="21">
        <f>ROUND(IF(IFERROR(PROPERTIES[[#This Row],[TE_COEFFICIENT_CALC]],0)=0,PROPERTIES[[#This Row],[TE_COEFFICIENT_MANUAL]],PROPERTIES[[#This Row],[TE_COEFFICIENT_CALC]]),3)</f>
        <v>0.219</v>
      </c>
      <c r="X368" s="9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1">
        <v>0</v>
      </c>
      <c r="Z368" s="7">
        <v>2</v>
      </c>
      <c r="AA368" t="s">
        <v>244</v>
      </c>
      <c r="AB368" t="s">
        <v>238</v>
      </c>
      <c r="AC368" t="s">
        <v>238</v>
      </c>
      <c r="AD368" s="2" t="s">
        <v>238</v>
      </c>
      <c r="AE368" s="2" t="s">
        <v>253</v>
      </c>
      <c r="AF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8" s="2" t="str">
        <f>SUBSTITUTE(SUBSTITUTE(PROPERTIES[[#This Row],[PURCHASECOST_VALUE]], "PURCHASECOST_", ""), "_VALUE", "")</f>
        <v>ELECTRICENGINE</v>
      </c>
      <c r="AI368" s="7" t="str" cm="1">
        <f t="array" ref="AI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68" s="43" t="b">
        <v>0</v>
      </c>
      <c r="AK368" s="8" t="b">
        <v>0</v>
      </c>
      <c r="BB368"/>
      <c r="BC368"/>
      <c r="BD368"/>
    </row>
    <row r="369" spans="1:56">
      <c r="A369" s="2" t="s">
        <v>3083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5" t="str">
        <f>_xlfn.XLOOKUP(PROPERTIES[[#This Row],[VEHIDCODE]],CONTROL[VEHIDCODE],CONTROL[ENGLISH])</f>
        <v>Baldwin Westinghouse E-28</v>
      </c>
      <c r="F369" t="s">
        <v>612</v>
      </c>
      <c r="G369" s="45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8">
        <v>115</v>
      </c>
      <c r="R369">
        <v>2250</v>
      </c>
      <c r="S369">
        <v>80</v>
      </c>
      <c r="T369" s="25">
        <v>200</v>
      </c>
      <c r="U369" s="24">
        <f>IFERROR(PROPERTIES[[#This Row],[TE_STARTING_KN]]/(PROPERTIES[[#This Row],[WEIGHT]]*9.81),0)</f>
        <v>0.17728138988609668</v>
      </c>
      <c r="V369" s="24">
        <v>0</v>
      </c>
      <c r="W369" s="21">
        <f>ROUND(IF(IFERROR(PROPERTIES[[#This Row],[TE_COEFFICIENT_CALC]],0)=0,PROPERTIES[[#This Row],[TE_COEFFICIENT_MANUAL]],PROPERTIES[[#This Row],[TE_COEFFICIENT_CALC]]),3)</f>
        <v>0.17699999999999999</v>
      </c>
      <c r="X369" s="9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369" s="31">
        <v>0</v>
      </c>
      <c r="Z369" s="7">
        <v>0</v>
      </c>
      <c r="AA369" t="s">
        <v>246</v>
      </c>
      <c r="AB369" t="s">
        <v>238</v>
      </c>
      <c r="AC369" t="s">
        <v>238</v>
      </c>
      <c r="AD369" s="2" t="s">
        <v>238</v>
      </c>
      <c r="AE369" s="2" t="s">
        <v>253</v>
      </c>
      <c r="AF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9" s="2" t="str">
        <f>SUBSTITUTE(SUBSTITUTE(PROPERTIES[[#This Row],[PURCHASECOST_VALUE]], "PURCHASECOST_", ""), "_VALUE", "")</f>
        <v>ELECTRICENGINE</v>
      </c>
      <c r="AI369" s="7" t="str" cm="1">
        <f t="array" ref="AI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9" s="43" t="b">
        <v>0</v>
      </c>
      <c r="AK369" s="8" t="b">
        <v>0</v>
      </c>
      <c r="BB369"/>
      <c r="BC369"/>
      <c r="BD369"/>
    </row>
    <row r="370" spans="1:56">
      <c r="A370" s="2" t="s">
        <v>3084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5" t="str">
        <f>_xlfn.XLOOKUP(PROPERTIES[[#This Row],[VEHIDCODE]],CONTROL[VEHIDCODE],CONTROL[ENGLISH])</f>
        <v>Breda E.428</v>
      </c>
      <c r="F370" t="s">
        <v>675</v>
      </c>
      <c r="G370" s="45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8">
        <v>130</v>
      </c>
      <c r="R370">
        <v>3800</v>
      </c>
      <c r="S370">
        <v>130</v>
      </c>
      <c r="T370" s="25">
        <v>180</v>
      </c>
      <c r="U370" s="24">
        <f>IFERROR(PROPERTIES[[#This Row],[TE_STARTING_KN]]/(PROPERTIES[[#This Row],[WEIGHT]]*9.81),0)</f>
        <v>0.14114326040931546</v>
      </c>
      <c r="V370" s="24">
        <v>0</v>
      </c>
      <c r="W370" s="21">
        <f>ROUND(IF(IFERROR(PROPERTIES[[#This Row],[TE_COEFFICIENT_CALC]],0)=0,PROPERTIES[[#This Row],[TE_COEFFICIENT_MANUAL]],PROPERTIES[[#This Row],[TE_COEFFICIENT_CALC]]),3)</f>
        <v>0.14099999999999999</v>
      </c>
      <c r="X370" s="9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1">
        <v>0</v>
      </c>
      <c r="Z370" s="7">
        <v>0</v>
      </c>
      <c r="AA370" t="s">
        <v>240</v>
      </c>
      <c r="AB370" t="s">
        <v>238</v>
      </c>
      <c r="AC370" t="s">
        <v>238</v>
      </c>
      <c r="AD370" s="2" t="s">
        <v>238</v>
      </c>
      <c r="AE370" s="2" t="s">
        <v>253</v>
      </c>
      <c r="AF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0" s="2" t="str">
        <f>SUBSTITUTE(SUBSTITUTE(PROPERTIES[[#This Row],[PURCHASECOST_VALUE]], "PURCHASECOST_", ""), "_VALUE", "")</f>
        <v>ELECTRICENGINE</v>
      </c>
      <c r="AI370" s="7" t="str" cm="1">
        <f t="array" ref="AI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0" s="43" t="b">
        <v>0</v>
      </c>
      <c r="AK370" s="8" t="b">
        <v>0</v>
      </c>
      <c r="BB370"/>
      <c r="BC370"/>
      <c r="BD370"/>
    </row>
    <row r="371" spans="1:56">
      <c r="A371" s="2" t="s">
        <v>3085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5" t="str">
        <f>_xlfn.XLOOKUP(PROPERTIES[[#This Row],[VEHIDCODE]],CONTROL[VEHIDCODE],CONTROL[ENGLISH])</f>
        <v>Werkspoor SAR ES</v>
      </c>
      <c r="F371" t="s">
        <v>810</v>
      </c>
      <c r="G371" s="45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8">
        <v>68</v>
      </c>
      <c r="R371">
        <v>1202</v>
      </c>
      <c r="S371">
        <v>40</v>
      </c>
      <c r="T371" s="25">
        <v>176</v>
      </c>
      <c r="U371" s="24">
        <f>IFERROR(PROPERTIES[[#This Row],[TE_STARTING_KN]]/(PROPERTIES[[#This Row],[WEIGHT]]*9.81),0)</f>
        <v>0.26383642141872038</v>
      </c>
      <c r="V371" s="24">
        <v>0</v>
      </c>
      <c r="W371" s="21">
        <f>ROUND(IF(IFERROR(PROPERTIES[[#This Row],[TE_COEFFICIENT_CALC]],0)=0,PROPERTIES[[#This Row],[TE_COEFFICIENT_MANUAL]],PROPERTIES[[#This Row],[TE_COEFFICIENT_CALC]]),3)</f>
        <v>0.26400000000000001</v>
      </c>
      <c r="X371" s="9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1">
        <v>0</v>
      </c>
      <c r="Z371" s="7">
        <v>0</v>
      </c>
      <c r="AA371" t="s">
        <v>242</v>
      </c>
      <c r="AB371" t="s">
        <v>238</v>
      </c>
      <c r="AC371" t="s">
        <v>238</v>
      </c>
      <c r="AD371" s="2" t="s">
        <v>238</v>
      </c>
      <c r="AE371" s="2" t="s">
        <v>253</v>
      </c>
      <c r="AF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1" s="2" t="str">
        <f>SUBSTITUTE(SUBSTITUTE(PROPERTIES[[#This Row],[PURCHASECOST_VALUE]], "PURCHASECOST_", ""), "_VALUE", "")</f>
        <v>ELECTRICENGINE</v>
      </c>
      <c r="AI371" s="7" t="str" cm="1">
        <f t="array" ref="AI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71" s="43" t="b">
        <v>0</v>
      </c>
      <c r="AK371" s="8" t="b">
        <v>0</v>
      </c>
      <c r="BB371"/>
      <c r="BC371"/>
      <c r="BD371"/>
    </row>
    <row r="372" spans="1:56">
      <c r="A372" s="2" t="s">
        <v>3086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5" t="str">
        <f>_xlfn.XLOOKUP(PROPERTIES[[#This Row],[VEHIDCODE]],CONTROL[VEHIDCODE],CONTROL[ENGLISH])</f>
        <v>English Electric E [AEI E]</v>
      </c>
      <c r="F372" t="s">
        <v>744</v>
      </c>
      <c r="G372" s="45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8">
        <v>81</v>
      </c>
      <c r="R372">
        <v>1500</v>
      </c>
      <c r="S372">
        <v>126</v>
      </c>
      <c r="T372" s="25">
        <v>280</v>
      </c>
      <c r="U372" s="24">
        <f>IFERROR(PROPERTIES[[#This Row],[TE_STARTING_KN]]/(PROPERTIES[[#This Row],[WEIGHT]]*9.81),0)</f>
        <v>0.35237412063779716</v>
      </c>
      <c r="V372" s="24">
        <v>0</v>
      </c>
      <c r="W372" s="21">
        <f>ROUND(IF(IFERROR(PROPERTIES[[#This Row],[TE_COEFFICIENT_CALC]],0)=0,PROPERTIES[[#This Row],[TE_COEFFICIENT_MANUAL]],PROPERTIES[[#This Row],[TE_COEFFICIENT_CALC]]),3)</f>
        <v>0.35199999999999998</v>
      </c>
      <c r="X372" s="9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1">
        <v>0</v>
      </c>
      <c r="Z372" s="7">
        <v>0</v>
      </c>
      <c r="AA372" t="s">
        <v>245</v>
      </c>
      <c r="AB372" t="s">
        <v>238</v>
      </c>
      <c r="AC372" t="s">
        <v>238</v>
      </c>
      <c r="AD372" s="2" t="s">
        <v>238</v>
      </c>
      <c r="AE372" s="2" t="s">
        <v>253</v>
      </c>
      <c r="AF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2" s="2" t="str">
        <f>SUBSTITUTE(SUBSTITUTE(PROPERTIES[[#This Row],[PURCHASECOST_VALUE]], "PURCHASECOST_", ""), "_VALUE", "")</f>
        <v>ELECTRICENGINE</v>
      </c>
      <c r="AI372" s="7" t="str" cm="1">
        <f t="array" ref="AI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2" s="43" t="b">
        <v>0</v>
      </c>
      <c r="AK372" s="8" t="b">
        <v>0</v>
      </c>
      <c r="BB372"/>
      <c r="BC372"/>
      <c r="BD372"/>
    </row>
    <row r="373" spans="1:56">
      <c r="A373" s="2" t="s">
        <v>3087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5" t="str">
        <f>_xlfn.XLOOKUP(PROPERTIES[[#This Row],[VEHIDCODE]],CONTROL[VEHIDCODE],CONTROL[ENGLISH])</f>
        <v>HCP 203E</v>
      </c>
      <c r="F373" t="s">
        <v>744</v>
      </c>
      <c r="G373" s="45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8">
        <v>167</v>
      </c>
      <c r="R373">
        <v>5400</v>
      </c>
      <c r="S373">
        <v>125</v>
      </c>
      <c r="T373" s="25">
        <v>500</v>
      </c>
      <c r="U373" s="24">
        <f>IFERROR(PROPERTIES[[#This Row],[TE_STARTING_KN]]/(PROPERTIES[[#This Row],[WEIGHT]]*9.81),0)</f>
        <v>0.30519999755840005</v>
      </c>
      <c r="V373" s="24">
        <v>0</v>
      </c>
      <c r="W373" s="21">
        <f>ROUND(IF(IFERROR(PROPERTIES[[#This Row],[TE_COEFFICIENT_CALC]],0)=0,PROPERTIES[[#This Row],[TE_COEFFICIENT_MANUAL]],PROPERTIES[[#This Row],[TE_COEFFICIENT_CALC]]),3)</f>
        <v>0.30499999999999999</v>
      </c>
      <c r="X373" s="9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1">
        <v>0</v>
      </c>
      <c r="Z373" s="7">
        <v>7</v>
      </c>
      <c r="AA373" t="s">
        <v>245</v>
      </c>
      <c r="AB373" t="s">
        <v>238</v>
      </c>
      <c r="AC373" t="s">
        <v>238</v>
      </c>
      <c r="AD373" s="2" t="s">
        <v>238</v>
      </c>
      <c r="AE373" s="2" t="s">
        <v>253</v>
      </c>
      <c r="AF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3" s="2" t="str">
        <f>SUBSTITUTE(SUBSTITUTE(PROPERTIES[[#This Row],[PURCHASECOST_VALUE]], "PURCHASECOST_", ""), "_VALUE", "")</f>
        <v>ELECTRICENGINE</v>
      </c>
      <c r="AI373" s="7" t="str" cm="1">
        <f t="array" ref="AI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73" s="43" t="b">
        <v>0</v>
      </c>
      <c r="AK373" s="8" t="b">
        <v>0</v>
      </c>
      <c r="BB373"/>
      <c r="BC373"/>
      <c r="BD373"/>
    </row>
    <row r="374" spans="1:56">
      <c r="A374" s="2" t="s">
        <v>3088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5" t="str">
        <f>_xlfn.XLOOKUP(PROPERTIES[[#This Row],[VEHIDCODE]],CONTROL[VEHIDCODE],CONTROL[ENGLISH])</f>
        <v>Pafawag 104E</v>
      </c>
      <c r="F374" t="s">
        <v>744</v>
      </c>
      <c r="G374" s="45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8">
        <v>83.5</v>
      </c>
      <c r="R374">
        <v>3916</v>
      </c>
      <c r="S374">
        <v>160</v>
      </c>
      <c r="T374" s="25">
        <v>195</v>
      </c>
      <c r="U374" s="24">
        <f>IFERROR(PROPERTIES[[#This Row],[TE_STARTING_KN]]/(PROPERTIES[[#This Row],[WEIGHT]]*9.81),0)</f>
        <v>0.23805599809555203</v>
      </c>
      <c r="V374" s="24">
        <v>0</v>
      </c>
      <c r="W374" s="21">
        <f>ROUND(IF(IFERROR(PROPERTIES[[#This Row],[TE_COEFFICIENT_CALC]],0)=0,PROPERTIES[[#This Row],[TE_COEFFICIENT_MANUAL]],PROPERTIES[[#This Row],[TE_COEFFICIENT_CALC]]),3)</f>
        <v>0.23799999999999999</v>
      </c>
      <c r="X374" s="9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1">
        <v>0</v>
      </c>
      <c r="Z374" s="7">
        <v>0</v>
      </c>
      <c r="AA374" t="s">
        <v>245</v>
      </c>
      <c r="AB374" t="s">
        <v>238</v>
      </c>
      <c r="AC374" t="s">
        <v>238</v>
      </c>
      <c r="AD374" s="2" t="s">
        <v>238</v>
      </c>
      <c r="AE374" s="2" t="s">
        <v>253</v>
      </c>
      <c r="AF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4" s="2" t="str">
        <f>SUBSTITUTE(SUBSTITUTE(PROPERTIES[[#This Row],[PURCHASECOST_VALUE]], "PURCHASECOST_", ""), "_VALUE", "")</f>
        <v>ELECTRICENGINE</v>
      </c>
      <c r="AI374" s="7" t="str" cm="1">
        <f t="array" ref="AI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4" s="43" t="b">
        <v>0</v>
      </c>
      <c r="AK374" s="8" t="b">
        <v>0</v>
      </c>
      <c r="BB374"/>
      <c r="BC374"/>
      <c r="BD374"/>
    </row>
    <row r="375" spans="1:56">
      <c r="A375" s="2" t="s">
        <v>3089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5" t="str">
        <f>_xlfn.XLOOKUP(PROPERTIES[[#This Row],[VEHIDCODE]],CONTROL[VEHIDCODE],CONTROL[ENGLISH])</f>
        <v>Skoda 98E</v>
      </c>
      <c r="F375" t="s">
        <v>766</v>
      </c>
      <c r="G375" s="45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8">
        <v>85</v>
      </c>
      <c r="R375">
        <v>4872</v>
      </c>
      <c r="S375">
        <v>140</v>
      </c>
      <c r="T375" s="25">
        <v>258</v>
      </c>
      <c r="U375" s="24">
        <f>IFERROR(PROPERTIES[[#This Row],[TE_STARTING_KN]]/(PROPERTIES[[#This Row],[WEIGHT]]*9.81),0)</f>
        <v>0.30940816693649936</v>
      </c>
      <c r="V375" s="24">
        <v>0</v>
      </c>
      <c r="W375" s="21">
        <f>ROUND(IF(IFERROR(PROPERTIES[[#This Row],[TE_COEFFICIENT_CALC]],0)=0,PROPERTIES[[#This Row],[TE_COEFFICIENT_MANUAL]],PROPERTIES[[#This Row],[TE_COEFFICIENT_CALC]]),3)</f>
        <v>0.309</v>
      </c>
      <c r="X375" s="9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1">
        <v>0</v>
      </c>
      <c r="Z375" s="7">
        <v>0</v>
      </c>
      <c r="AA375" t="s">
        <v>245</v>
      </c>
      <c r="AB375" t="s">
        <v>238</v>
      </c>
      <c r="AC375" t="s">
        <v>238</v>
      </c>
      <c r="AD375" s="2" t="s">
        <v>238</v>
      </c>
      <c r="AE375" s="2" t="s">
        <v>253</v>
      </c>
      <c r="AF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5" s="2" t="str">
        <f>SUBSTITUTE(SUBSTITUTE(PROPERTIES[[#This Row],[PURCHASECOST_VALUE]], "PURCHASECOST_", ""), "_VALUE", "")</f>
        <v>ELECTRICENGINE</v>
      </c>
      <c r="AI375" s="7" t="str" cm="1">
        <f t="array" ref="AI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5" s="43" t="b">
        <v>0</v>
      </c>
      <c r="AK375" s="8" t="b">
        <v>0</v>
      </c>
      <c r="BB375"/>
      <c r="BC375"/>
      <c r="BD375"/>
    </row>
    <row r="376" spans="1:56">
      <c r="A376" s="2" t="s">
        <v>3090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5" t="str">
        <f>_xlfn.XLOOKUP(PROPERTIES[[#This Row],[VEHIDCODE]],CONTROL[VEHIDCODE],CONTROL[ENGLISH])</f>
        <v>TIBB E.646</v>
      </c>
      <c r="F376" t="s">
        <v>675</v>
      </c>
      <c r="G376" s="45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8">
        <v>110</v>
      </c>
      <c r="R376">
        <v>5070</v>
      </c>
      <c r="S376">
        <v>140</v>
      </c>
      <c r="T376" s="25">
        <v>233</v>
      </c>
      <c r="U376" s="24">
        <f>IFERROR(PROPERTIES[[#This Row],[TE_STARTING_KN]]/(PROPERTIES[[#This Row],[WEIGHT]]*9.81),0)</f>
        <v>0.21592067463627093</v>
      </c>
      <c r="V376" s="24">
        <v>0</v>
      </c>
      <c r="W376" s="21">
        <f>ROUND(IF(IFERROR(PROPERTIES[[#This Row],[TE_COEFFICIENT_CALC]],0)=0,PROPERTIES[[#This Row],[TE_COEFFICIENT_MANUAL]],PROPERTIES[[#This Row],[TE_COEFFICIENT_CALC]]),3)</f>
        <v>0.216</v>
      </c>
      <c r="X376" s="9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1">
        <v>0</v>
      </c>
      <c r="Z376" s="7">
        <v>5</v>
      </c>
      <c r="AA376" t="s">
        <v>240</v>
      </c>
      <c r="AB376" t="s">
        <v>238</v>
      </c>
      <c r="AC376" t="s">
        <v>238</v>
      </c>
      <c r="AD376" s="2" t="s">
        <v>238</v>
      </c>
      <c r="AE376" s="2" t="s">
        <v>253</v>
      </c>
      <c r="AF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6" s="2" t="str">
        <f>SUBSTITUTE(SUBSTITUTE(PROPERTIES[[#This Row],[PURCHASECOST_VALUE]], "PURCHASECOST_", ""), "_VALUE", "")</f>
        <v>ELECTRICENGINE</v>
      </c>
      <c r="AI376" s="7" t="str" cm="1">
        <f t="array" ref="AI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6" s="43" t="b">
        <v>0</v>
      </c>
      <c r="AK376" s="8" t="b">
        <v>0</v>
      </c>
      <c r="BB376"/>
      <c r="BC376"/>
      <c r="BD376"/>
    </row>
    <row r="377" spans="1:56">
      <c r="A377" s="2" t="s">
        <v>3091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5" t="str">
        <f>_xlfn.XLOOKUP(PROPERTIES[[#This Row],[VEHIDCODE]],CONTROL[VEHIDCODE],CONTROL[ENGLISH])</f>
        <v>Breda E.424</v>
      </c>
      <c r="F377" t="s">
        <v>675</v>
      </c>
      <c r="G377" s="45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8">
        <v>65</v>
      </c>
      <c r="R377">
        <v>2000</v>
      </c>
      <c r="S377">
        <v>120</v>
      </c>
      <c r="T377" s="25">
        <v>168</v>
      </c>
      <c r="U377" s="24">
        <f>IFERROR(PROPERTIES[[#This Row],[TE_STARTING_KN]]/(PROPERTIES[[#This Row],[WEIGHT]]*9.81),0)</f>
        <v>0.26346741943072222</v>
      </c>
      <c r="V377" s="24">
        <v>0</v>
      </c>
      <c r="W377" s="21">
        <f>ROUND(IF(IFERROR(PROPERTIES[[#This Row],[TE_COEFFICIENT_CALC]],0)=0,PROPERTIES[[#This Row],[TE_COEFFICIENT_MANUAL]],PROPERTIES[[#This Row],[TE_COEFFICIENT_CALC]]),3)</f>
        <v>0.26300000000000001</v>
      </c>
      <c r="X377" s="9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1">
        <v>0</v>
      </c>
      <c r="Z377" s="7">
        <v>0</v>
      </c>
      <c r="AA377" t="s">
        <v>240</v>
      </c>
      <c r="AB377" t="s">
        <v>238</v>
      </c>
      <c r="AC377" t="s">
        <v>238</v>
      </c>
      <c r="AD377" s="2" t="s">
        <v>238</v>
      </c>
      <c r="AE377" s="2" t="s">
        <v>253</v>
      </c>
      <c r="AF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7" s="2" t="str">
        <f>SUBSTITUTE(SUBSTITUTE(PROPERTIES[[#This Row],[PURCHASECOST_VALUE]], "PURCHASECOST_", ""), "_VALUE", "")</f>
        <v>ELECTRICENGINE</v>
      </c>
      <c r="AI377" s="7" t="str" cm="1">
        <f t="array" ref="AI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7" s="43" t="b">
        <v>0</v>
      </c>
      <c r="AK377" s="8" t="b">
        <v>0</v>
      </c>
      <c r="BB377"/>
      <c r="BC377"/>
      <c r="BD377"/>
    </row>
    <row r="378" spans="1:56">
      <c r="A378" s="2" t="s">
        <v>3092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5" t="str">
        <f>_xlfn.XLOOKUP(PROPERTIES[[#This Row],[VEHIDCODE]],CONTROL[VEHIDCODE],CONTROL[ENGLISH])</f>
        <v>Savigliano E.444</v>
      </c>
      <c r="F378" t="s">
        <v>675</v>
      </c>
      <c r="G378" s="45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8">
        <v>83</v>
      </c>
      <c r="R378">
        <v>5729</v>
      </c>
      <c r="S378">
        <v>200</v>
      </c>
      <c r="T378" s="25">
        <v>201</v>
      </c>
      <c r="U378" s="24">
        <f>IFERROR(PROPERTIES[[#This Row],[TE_STARTING_KN]]/(PROPERTIES[[#This Row],[WEIGHT]]*9.81),0)</f>
        <v>0.24685899561548946</v>
      </c>
      <c r="V378" s="24">
        <v>0</v>
      </c>
      <c r="W378" s="21">
        <f>ROUND(IF(IFERROR(PROPERTIES[[#This Row],[TE_COEFFICIENT_CALC]],0)=0,PROPERTIES[[#This Row],[TE_COEFFICIENT_MANUAL]],PROPERTIES[[#This Row],[TE_COEFFICIENT_CALC]]),3)</f>
        <v>0.247</v>
      </c>
      <c r="X378" s="9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1">
        <v>0</v>
      </c>
      <c r="Z378" s="7">
        <v>0</v>
      </c>
      <c r="AA378" t="s">
        <v>240</v>
      </c>
      <c r="AB378" t="s">
        <v>238</v>
      </c>
      <c r="AC378" t="s">
        <v>238</v>
      </c>
      <c r="AD378" s="2" t="s">
        <v>238</v>
      </c>
      <c r="AE378" s="2" t="s">
        <v>253</v>
      </c>
      <c r="AF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8" s="2" t="str">
        <f>SUBSTITUTE(SUBSTITUTE(PROPERTIES[[#This Row],[PURCHASECOST_VALUE]], "PURCHASECOST_", ""), "_VALUE", "")</f>
        <v>ELECTRICENGINE</v>
      </c>
      <c r="AI378" s="7" t="str" cm="1">
        <f t="array" ref="AI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8" s="43" t="b">
        <v>0</v>
      </c>
      <c r="AK378" s="8" t="b">
        <v>0</v>
      </c>
      <c r="BB378"/>
      <c r="BC378"/>
      <c r="BD378"/>
    </row>
    <row r="379" spans="1:56">
      <c r="A379" s="2" t="s">
        <v>3093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5" t="str">
        <f>_xlfn.XLOOKUP(PROPERTIES[[#This Row],[VEHIDCODE]],CONTROL[VEHIDCODE],CONTROL[ENGLISH])</f>
        <v>Fiat E.633</v>
      </c>
      <c r="F379" t="s">
        <v>675</v>
      </c>
      <c r="G379" s="45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8">
        <v>103</v>
      </c>
      <c r="R379">
        <v>5600</v>
      </c>
      <c r="S379">
        <v>130</v>
      </c>
      <c r="T379" s="25">
        <v>308</v>
      </c>
      <c r="U379" s="24">
        <f>IFERROR(PROPERTIES[[#This Row],[TE_STARTING_KN]]/(PROPERTIES[[#This Row],[WEIGHT]]*9.81),0)</f>
        <v>0.30482071989153131</v>
      </c>
      <c r="V379" s="24">
        <v>0</v>
      </c>
      <c r="W379" s="21">
        <f>ROUND(IF(IFERROR(PROPERTIES[[#This Row],[TE_COEFFICIENT_CALC]],0)=0,PROPERTIES[[#This Row],[TE_COEFFICIENT_MANUAL]],PROPERTIES[[#This Row],[TE_COEFFICIENT_CALC]]),3)</f>
        <v>0.30499999999999999</v>
      </c>
      <c r="X379" s="9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1">
        <v>0</v>
      </c>
      <c r="Z379" s="7">
        <v>0</v>
      </c>
      <c r="AA379" t="s">
        <v>240</v>
      </c>
      <c r="AB379" t="s">
        <v>238</v>
      </c>
      <c r="AC379" t="s">
        <v>238</v>
      </c>
      <c r="AD379" s="2" t="s">
        <v>238</v>
      </c>
      <c r="AE379" s="2" t="s">
        <v>253</v>
      </c>
      <c r="AF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9" s="2" t="str">
        <f>SUBSTITUTE(SUBSTITUTE(PROPERTIES[[#This Row],[PURCHASECOST_VALUE]], "PURCHASECOST_", ""), "_VALUE", "")</f>
        <v>ELECTRICENGINE</v>
      </c>
      <c r="AI379" s="7" t="str" cm="1">
        <f t="array" ref="AI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9" s="43" t="b">
        <v>0</v>
      </c>
      <c r="AK379" s="8" t="b">
        <v>0</v>
      </c>
      <c r="BB379"/>
      <c r="BC379"/>
      <c r="BD379"/>
    </row>
    <row r="380" spans="1:56">
      <c r="A380" s="2" t="s">
        <v>3094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5" t="str">
        <f>_xlfn.XLOOKUP(PROPERTIES[[#This Row],[VEHIDCODE]],CONTROL[VEHIDCODE],CONTROL[ENGLISH])</f>
        <v>BN/ACEC 25.5</v>
      </c>
      <c r="F380" t="s">
        <v>587</v>
      </c>
      <c r="G380" s="45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8">
        <v>85</v>
      </c>
      <c r="R380">
        <v>2520</v>
      </c>
      <c r="S380">
        <v>130</v>
      </c>
      <c r="T380" s="25">
        <v>196</v>
      </c>
      <c r="U380" s="24">
        <f>IFERROR(PROPERTIES[[#This Row],[TE_STARTING_KN]]/(PROPERTIES[[#This Row],[WEIGHT]]*9.81),0)</f>
        <v>0.23505426635485999</v>
      </c>
      <c r="V380" s="24">
        <v>0</v>
      </c>
      <c r="W380" s="21">
        <f>ROUND(IF(IFERROR(PROPERTIES[[#This Row],[TE_COEFFICIENT_CALC]],0)=0,PROPERTIES[[#This Row],[TE_COEFFICIENT_MANUAL]],PROPERTIES[[#This Row],[TE_COEFFICIENT_CALC]]),3)</f>
        <v>0.23499999999999999</v>
      </c>
      <c r="X380" s="9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1">
        <v>0</v>
      </c>
      <c r="Z380" s="7">
        <v>0</v>
      </c>
      <c r="AA380" t="s">
        <v>239</v>
      </c>
      <c r="AB380" t="s">
        <v>238</v>
      </c>
      <c r="AC380" t="s">
        <v>238</v>
      </c>
      <c r="AD380" s="2" t="s">
        <v>238</v>
      </c>
      <c r="AE380" s="2" t="s">
        <v>253</v>
      </c>
      <c r="AF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0" s="2" t="str">
        <f>SUBSTITUTE(SUBSTITUTE(PROPERTIES[[#This Row],[PURCHASECOST_VALUE]], "PURCHASECOST_", ""), "_VALUE", "")</f>
        <v>ELECTRICENGINE</v>
      </c>
      <c r="AI380" s="7" t="str" cm="1">
        <f t="array" ref="AI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0" s="43" t="b">
        <v>0</v>
      </c>
      <c r="AK380" s="8" t="b">
        <v>0</v>
      </c>
      <c r="BB380"/>
      <c r="BC380"/>
      <c r="BD380"/>
    </row>
    <row r="381" spans="1:56">
      <c r="A381" s="2" t="s">
        <v>3095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5" t="str">
        <f>_xlfn.XLOOKUP(PROPERTIES[[#This Row],[VEHIDCODE]],CONTROL[VEHIDCODE],CONTROL[ENGLISH])</f>
        <v>Krauss Maffei/CAF 250</v>
      </c>
      <c r="F381" t="s">
        <v>634</v>
      </c>
      <c r="G381" s="45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8">
        <v>124</v>
      </c>
      <c r="R381">
        <v>6440</v>
      </c>
      <c r="S381">
        <v>160</v>
      </c>
      <c r="T381" s="25">
        <v>410</v>
      </c>
      <c r="U381" s="24">
        <f>IFERROR(PROPERTIES[[#This Row],[TE_STARTING_KN]]/(PROPERTIES[[#This Row],[WEIGHT]]*9.81),0)</f>
        <v>0.33704909407780076</v>
      </c>
      <c r="V381" s="24">
        <v>0</v>
      </c>
      <c r="W381" s="21">
        <f>ROUND(IF(IFERROR(PROPERTIES[[#This Row],[TE_COEFFICIENT_CALC]],0)=0,PROPERTIES[[#This Row],[TE_COEFFICIENT_MANUAL]],PROPERTIES[[#This Row],[TE_COEFFICIENT_CALC]]),3)</f>
        <v>0.33700000000000002</v>
      </c>
      <c r="X381" s="9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1">
        <v>0</v>
      </c>
      <c r="Z381" s="7">
        <v>0</v>
      </c>
      <c r="AA381" t="s">
        <v>240</v>
      </c>
      <c r="AB381" t="s">
        <v>238</v>
      </c>
      <c r="AC381" t="s">
        <v>238</v>
      </c>
      <c r="AD381" s="2" t="s">
        <v>238</v>
      </c>
      <c r="AE381" s="2" t="s">
        <v>253</v>
      </c>
      <c r="AF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1" s="2" t="str">
        <f>SUBSTITUTE(SUBSTITUTE(PROPERTIES[[#This Row],[PURCHASECOST_VALUE]], "PURCHASECOST_", ""), "_VALUE", "")</f>
        <v>ELECTRICENGINE</v>
      </c>
      <c r="AI381" s="7" t="str" cm="1">
        <f t="array" ref="AI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1" s="43" t="b">
        <v>0</v>
      </c>
      <c r="AK381" s="8" t="b">
        <v>0</v>
      </c>
      <c r="BB381"/>
      <c r="BC381"/>
      <c r="BD381"/>
    </row>
    <row r="382" spans="1:56">
      <c r="A382" s="2" t="s">
        <v>3096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5" t="str">
        <f>_xlfn.XLOOKUP(PROPERTIES[[#This Row],[VEHIDCODE]],CONTROL[VEHIDCODE],CONTROL[ENGLISH])</f>
        <v>EF-E 29 GE 2-C+C-2</v>
      </c>
      <c r="F382" t="s">
        <v>612</v>
      </c>
      <c r="G382" s="45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8">
        <v>116</v>
      </c>
      <c r="R382">
        <v>3100</v>
      </c>
      <c r="S382">
        <v>100</v>
      </c>
      <c r="T382" s="25">
        <v>315</v>
      </c>
      <c r="U382" s="24">
        <f>IFERROR(PROPERTIES[[#This Row],[TE_STARTING_KN]]/(PROPERTIES[[#This Row],[WEIGHT]]*9.81),0)</f>
        <v>0.27681113571654536</v>
      </c>
      <c r="V382" s="24">
        <v>0</v>
      </c>
      <c r="W382" s="21">
        <f>ROUND(IF(IFERROR(PROPERTIES[[#This Row],[TE_COEFFICIENT_CALC]],0)=0,PROPERTIES[[#This Row],[TE_COEFFICIENT_MANUAL]],PROPERTIES[[#This Row],[TE_COEFFICIENT_CALC]]),3)</f>
        <v>0.27700000000000002</v>
      </c>
      <c r="X382" s="9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1">
        <v>0</v>
      </c>
      <c r="Z382" s="7">
        <v>1</v>
      </c>
      <c r="AA382" t="s">
        <v>246</v>
      </c>
      <c r="AB382" t="s">
        <v>238</v>
      </c>
      <c r="AC382" t="s">
        <v>238</v>
      </c>
      <c r="AD382" s="2" t="s">
        <v>238</v>
      </c>
      <c r="AE382" s="2" t="s">
        <v>253</v>
      </c>
      <c r="AF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2" s="2" t="str">
        <f>SUBSTITUTE(SUBSTITUTE(PROPERTIES[[#This Row],[PURCHASECOST_VALUE]], "PURCHASECOST_", ""), "_VALUE", "")</f>
        <v>ELECTRICENGINE</v>
      </c>
      <c r="AI382" s="7" t="str" cm="1">
        <f t="array" ref="AI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2" s="43" t="b">
        <v>0</v>
      </c>
      <c r="AK382" s="8" t="b">
        <v>1</v>
      </c>
      <c r="BB382"/>
      <c r="BC382"/>
      <c r="BD382"/>
    </row>
    <row r="383" spans="1:56">
      <c r="A383" s="2" t="s">
        <v>3097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5" t="str">
        <f>_xlfn.XLOOKUP(PROPERTIES[[#This Row],[VEHIDCODE]],CONTROL[VEHIDCODE],CONTROL[ENGLISH])</f>
        <v>GAI/Breda E-17</v>
      </c>
      <c r="F383" t="s">
        <v>612</v>
      </c>
      <c r="G383" s="45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8">
        <v>78</v>
      </c>
      <c r="R383">
        <v>1640</v>
      </c>
      <c r="S383">
        <v>90</v>
      </c>
      <c r="T383" s="25">
        <v>0</v>
      </c>
      <c r="U383" s="24">
        <f>IFERROR(PROPERTIES[[#This Row],[TE_STARTING_KN]]/(PROPERTIES[[#This Row],[WEIGHT]]*9.81),0)</f>
        <v>0</v>
      </c>
      <c r="V383" s="24">
        <v>0.24</v>
      </c>
      <c r="W383" s="21">
        <f>ROUND(IF(IFERROR(PROPERTIES[[#This Row],[TE_COEFFICIENT_CALC]],0)=0,PROPERTIES[[#This Row],[TE_COEFFICIENT_MANUAL]],PROPERTIES[[#This Row],[TE_COEFFICIENT_CALC]]),3)</f>
        <v>0.24</v>
      </c>
      <c r="X383" s="9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1">
        <v>0</v>
      </c>
      <c r="Z383" s="7">
        <v>0</v>
      </c>
      <c r="AA383" t="s">
        <v>246</v>
      </c>
      <c r="AB383" t="s">
        <v>238</v>
      </c>
      <c r="AC383" t="s">
        <v>238</v>
      </c>
      <c r="AD383" s="2" t="s">
        <v>238</v>
      </c>
      <c r="AE383" s="2" t="s">
        <v>253</v>
      </c>
      <c r="AF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3" s="2" t="str">
        <f>SUBSTITUTE(SUBSTITUTE(PROPERTIES[[#This Row],[PURCHASECOST_VALUE]], "PURCHASECOST_", ""), "_VALUE", "")</f>
        <v>ELECTRICENGINE</v>
      </c>
      <c r="AI383" s="7" t="str" cm="1">
        <f t="array" ref="AI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3" s="43" t="b">
        <v>0</v>
      </c>
      <c r="AK383" s="8" t="b">
        <v>0</v>
      </c>
      <c r="BB383"/>
      <c r="BC383"/>
      <c r="BD383"/>
    </row>
    <row r="384" spans="1:56">
      <c r="A384" s="2" t="s">
        <v>3098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5" t="str">
        <f>_xlfn.XLOOKUP(PROPERTIES[[#This Row],[VEHIDCODE]],CONTROL[VEHIDCODE],CONTROL[ENGLISH])</f>
        <v>Alsthom BB 8100</v>
      </c>
      <c r="F384" t="s">
        <v>641</v>
      </c>
      <c r="G384" s="45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8">
        <v>88</v>
      </c>
      <c r="R384">
        <v>1710</v>
      </c>
      <c r="S384">
        <v>80</v>
      </c>
      <c r="T384" s="25">
        <v>0</v>
      </c>
      <c r="U384" s="24">
        <f>IFERROR(PROPERTIES[[#This Row],[TE_STARTING_KN]]/(PROPERTIES[[#This Row],[WEIGHT]]*9.81),0)</f>
        <v>0</v>
      </c>
      <c r="V384" s="24">
        <v>0.17</v>
      </c>
      <c r="W384" s="21">
        <f>ROUND(IF(IFERROR(PROPERTIES[[#This Row],[TE_COEFFICIENT_CALC]],0)=0,PROPERTIES[[#This Row],[TE_COEFFICIENT_MANUAL]],PROPERTIES[[#This Row],[TE_COEFFICIENT_CALC]]),3)</f>
        <v>0.17</v>
      </c>
      <c r="X384" s="9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1">
        <v>0</v>
      </c>
      <c r="Z384" s="7">
        <v>0</v>
      </c>
      <c r="AA384" t="s">
        <v>242</v>
      </c>
      <c r="AB384" t="s">
        <v>239</v>
      </c>
      <c r="AC384" t="s">
        <v>238</v>
      </c>
      <c r="AD384" s="2" t="s">
        <v>238</v>
      </c>
      <c r="AE384" s="2" t="s">
        <v>253</v>
      </c>
      <c r="AF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4" s="2" t="str">
        <f>SUBSTITUTE(SUBSTITUTE(PROPERTIES[[#This Row],[PURCHASECOST_VALUE]], "PURCHASECOST_", ""), "_VALUE", "")</f>
        <v>ELECTRICENGINE</v>
      </c>
      <c r="AI384" s="7" t="str" cm="1">
        <f t="array" ref="AI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4" s="43" t="b">
        <v>0</v>
      </c>
      <c r="AK384" s="8" t="b">
        <v>0</v>
      </c>
      <c r="BB384"/>
      <c r="BC384"/>
      <c r="BD384"/>
    </row>
    <row r="385" spans="1:56">
      <c r="A385" s="2" t="s">
        <v>3099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5" t="str">
        <f>_xlfn.XLOOKUP(PROPERTIES[[#This Row],[VEHIDCODE]],CONTROL[VEHIDCODE],CONTROL[ENGLISH])</f>
        <v>Vulcan Foundry-EE EM/1</v>
      </c>
      <c r="F385" t="s">
        <v>670</v>
      </c>
      <c r="G385" s="45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8">
        <v>124</v>
      </c>
      <c r="R385">
        <v>3700</v>
      </c>
      <c r="S385">
        <v>104</v>
      </c>
      <c r="T385" s="25">
        <v>300</v>
      </c>
      <c r="U385" s="24">
        <f>IFERROR(PROPERTIES[[#This Row],[TE_STARTING_KN]]/(PROPERTIES[[#This Row],[WEIGHT]]*9.81),0)</f>
        <v>0.24662128834961033</v>
      </c>
      <c r="V385" s="24">
        <v>0</v>
      </c>
      <c r="W385" s="21">
        <f>ROUND(IF(IFERROR(PROPERTIES[[#This Row],[TE_COEFFICIENT_CALC]],0)=0,PROPERTIES[[#This Row],[TE_COEFFICIENT_MANUAL]],PROPERTIES[[#This Row],[TE_COEFFICIENT_CALC]]),3)</f>
        <v>0.247</v>
      </c>
      <c r="X385" s="9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1">
        <v>0</v>
      </c>
      <c r="Z385" s="7">
        <v>0</v>
      </c>
      <c r="AA385" t="s">
        <v>247</v>
      </c>
      <c r="AB385" t="s">
        <v>238</v>
      </c>
      <c r="AC385" t="s">
        <v>238</v>
      </c>
      <c r="AD385" s="2" t="s">
        <v>238</v>
      </c>
      <c r="AE385" s="2" t="s">
        <v>253</v>
      </c>
      <c r="AF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5" s="2" t="str">
        <f>SUBSTITUTE(SUBSTITUTE(PROPERTIES[[#This Row],[PURCHASECOST_VALUE]], "PURCHASECOST_", ""), "_VALUE", "")</f>
        <v>ELECTRICENGINE</v>
      </c>
      <c r="AI385" s="7" t="str" cm="1">
        <f t="array" ref="AI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5" s="43" t="b">
        <v>0</v>
      </c>
      <c r="AK385" s="8" t="b">
        <v>0</v>
      </c>
      <c r="BB385"/>
      <c r="BC385"/>
      <c r="BD385"/>
    </row>
    <row r="386" spans="1:56">
      <c r="A386" s="2" t="s">
        <v>3100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5" t="str">
        <f>_xlfn.XLOOKUP(PROPERTIES[[#This Row],[VEHIDCODE]],CONTROL[VEHIDCODE],CONTROL[ENGLISH])</f>
        <v>Union Carriage &amp; Wagon E38</v>
      </c>
      <c r="F386" t="s">
        <v>810</v>
      </c>
      <c r="G386" s="45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8">
        <v>74</v>
      </c>
      <c r="R386">
        <v>2000</v>
      </c>
      <c r="S386">
        <v>100</v>
      </c>
      <c r="T386" s="25">
        <v>260</v>
      </c>
      <c r="U386" s="24">
        <f>IFERROR(PROPERTIES[[#This Row],[TE_STARTING_KN]]/(PROPERTIES[[#This Row],[WEIGHT]]*9.81),0)</f>
        <v>0.35815632145907372</v>
      </c>
      <c r="V386" s="24">
        <v>0</v>
      </c>
      <c r="W386" s="21">
        <f>ROUND(IF(IFERROR(PROPERTIES[[#This Row],[TE_COEFFICIENT_CALC]],0)=0,PROPERTIES[[#This Row],[TE_COEFFICIENT_MANUAL]],PROPERTIES[[#This Row],[TE_COEFFICIENT_CALC]]),3)</f>
        <v>0.35799999999999998</v>
      </c>
      <c r="X386" s="9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1">
        <v>0</v>
      </c>
      <c r="Z386" s="7">
        <v>0</v>
      </c>
      <c r="AA386" t="s">
        <v>242</v>
      </c>
      <c r="AB386" t="s">
        <v>238</v>
      </c>
      <c r="AC386" t="s">
        <v>238</v>
      </c>
      <c r="AD386" s="2" t="s">
        <v>238</v>
      </c>
      <c r="AE386" s="2" t="s">
        <v>253</v>
      </c>
      <c r="AF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6" s="2" t="str">
        <f>SUBSTITUTE(SUBSTITUTE(PROPERTIES[[#This Row],[PURCHASECOST_VALUE]], "PURCHASECOST_", ""), "_VALUE", "")</f>
        <v>ELECTRICENGINE</v>
      </c>
      <c r="AI386" s="7" t="str" cm="1">
        <f t="array" ref="AI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6" s="43" t="b">
        <v>0</v>
      </c>
      <c r="AK386" s="8" t="b">
        <v>0</v>
      </c>
      <c r="BB386"/>
      <c r="BC386"/>
      <c r="BD386"/>
    </row>
    <row r="387" spans="1:56">
      <c r="A387" s="2" t="s">
        <v>3101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5" t="str">
        <f>_xlfn.XLOOKUP(PROPERTIES[[#This Row],[VEHIDCODE]],CONTROL[VEHIDCODE],CONTROL[ENGLISH])</f>
        <v>Mitsubishi series 269</v>
      </c>
      <c r="F387" t="s">
        <v>612</v>
      </c>
      <c r="G387" s="45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8">
        <v>88</v>
      </c>
      <c r="R387">
        <v>4340</v>
      </c>
      <c r="S387">
        <v>160</v>
      </c>
      <c r="T387" s="25">
        <v>0</v>
      </c>
      <c r="U387" s="24">
        <f>IFERROR(PROPERTIES[[#This Row],[TE_STARTING_KN]]/(PROPERTIES[[#This Row],[WEIGHT]]*9.81),0)</f>
        <v>0</v>
      </c>
      <c r="V387" s="24">
        <v>0.16</v>
      </c>
      <c r="W387" s="21">
        <f>ROUND(IF(IFERROR(PROPERTIES[[#This Row],[TE_COEFFICIENT_CALC]],0)=0,PROPERTIES[[#This Row],[TE_COEFFICIENT_MANUAL]],PROPERTIES[[#This Row],[TE_COEFFICIENT_CALC]]),3)</f>
        <v>0.16</v>
      </c>
      <c r="X387" s="9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1">
        <v>0</v>
      </c>
      <c r="Z387" s="7">
        <v>0</v>
      </c>
      <c r="AA387" t="s">
        <v>246</v>
      </c>
      <c r="AB387" t="s">
        <v>240</v>
      </c>
      <c r="AC387" t="s">
        <v>238</v>
      </c>
      <c r="AD387" s="2" t="s">
        <v>238</v>
      </c>
      <c r="AE387" s="2" t="s">
        <v>253</v>
      </c>
      <c r="AF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7" s="2" t="str">
        <f>SUBSTITUTE(SUBSTITUTE(PROPERTIES[[#This Row],[PURCHASECOST_VALUE]], "PURCHASECOST_", ""), "_VALUE", "")</f>
        <v>ELECTRICENGINE</v>
      </c>
      <c r="AI387" s="7" t="str" cm="1">
        <f t="array" ref="AI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7" s="43" t="b">
        <v>0</v>
      </c>
      <c r="AK387" s="8" t="b">
        <v>0</v>
      </c>
      <c r="BB387"/>
      <c r="BC387"/>
      <c r="BD387"/>
    </row>
    <row r="388" spans="1:56">
      <c r="A388" s="2" t="s">
        <v>3102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5" t="str">
        <f>_xlfn.XLOOKUP(PROPERTIES[[#This Row],[VEHIDCODE]],CONTROL[VEHIDCODE],CONTROL[ENGLISH])</f>
        <v>Skoda 69E</v>
      </c>
      <c r="F388" t="s">
        <v>622</v>
      </c>
      <c r="G388" s="45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8">
        <v>87</v>
      </c>
      <c r="R388">
        <v>4667</v>
      </c>
      <c r="S388">
        <v>120</v>
      </c>
      <c r="T388" s="25">
        <v>260</v>
      </c>
      <c r="U388" s="24">
        <f>IFERROR(PROPERTIES[[#This Row],[TE_STARTING_KN]]/(PROPERTIES[[#This Row],[WEIGHT]]*9.81),0)</f>
        <v>0.30463871020656846</v>
      </c>
      <c r="V388" s="24">
        <v>0</v>
      </c>
      <c r="W388" s="21">
        <f>ROUND(IF(IFERROR(PROPERTIES[[#This Row],[TE_COEFFICIENT_CALC]],0)=0,PROPERTIES[[#This Row],[TE_COEFFICIENT_MANUAL]],PROPERTIES[[#This Row],[TE_COEFFICIENT_CALC]]),3)</f>
        <v>0.30499999999999999</v>
      </c>
      <c r="X388" s="9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1">
        <v>0</v>
      </c>
      <c r="Z388" s="7">
        <v>0</v>
      </c>
      <c r="AA388" t="s">
        <v>245</v>
      </c>
      <c r="AB388" t="s">
        <v>238</v>
      </c>
      <c r="AC388" t="s">
        <v>238</v>
      </c>
      <c r="AD388" s="2" t="s">
        <v>238</v>
      </c>
      <c r="AE388" s="2" t="s">
        <v>253</v>
      </c>
      <c r="AF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8" s="2" t="str">
        <f>SUBSTITUTE(SUBSTITUTE(PROPERTIES[[#This Row],[PURCHASECOST_VALUE]], "PURCHASECOST_", ""), "_VALUE", "")</f>
        <v>ELECTRICENGINE</v>
      </c>
      <c r="AI388" s="7" t="str" cm="1">
        <f t="array" ref="AI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8" s="43" t="b">
        <v>0</v>
      </c>
      <c r="AK388" s="8" t="b">
        <v>0</v>
      </c>
      <c r="BB388"/>
      <c r="BC388"/>
      <c r="BD388"/>
    </row>
    <row r="389" spans="1:56">
      <c r="A389" s="2" t="s">
        <v>3103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5" t="str">
        <f>_xlfn.XLOOKUP(PROPERTIES[[#This Row],[VEHIDCODE]],CONTROL[VEHIDCODE],CONTROL[ENGLISH])</f>
        <v>AEG/Skabo EL7</v>
      </c>
      <c r="F389" t="s">
        <v>732</v>
      </c>
      <c r="G389" s="45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8">
        <v>48</v>
      </c>
      <c r="R389">
        <v>490</v>
      </c>
      <c r="S389">
        <v>45</v>
      </c>
      <c r="T389" s="25">
        <v>0</v>
      </c>
      <c r="U389" s="24">
        <f>IFERROR(PROPERTIES[[#This Row],[TE_STARTING_KN]]/(PROPERTIES[[#This Row],[WEIGHT]]*9.81),0)</f>
        <v>0</v>
      </c>
      <c r="V389" s="24">
        <v>0.22</v>
      </c>
      <c r="W389" s="21">
        <f>ROUND(IF(IFERROR(PROPERTIES[[#This Row],[TE_COEFFICIENT_CALC]],0)=0,PROPERTIES[[#This Row],[TE_COEFFICIENT_MANUAL]],PROPERTIES[[#This Row],[TE_COEFFICIENT_CALC]]),3)</f>
        <v>0.22</v>
      </c>
      <c r="X389" s="9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1">
        <v>0</v>
      </c>
      <c r="Z389" s="7">
        <v>0</v>
      </c>
      <c r="AA389" t="s">
        <v>243</v>
      </c>
      <c r="AB389" t="s">
        <v>238</v>
      </c>
      <c r="AC389" t="s">
        <v>238</v>
      </c>
      <c r="AD389" s="2" t="s">
        <v>238</v>
      </c>
      <c r="AE389" s="2" t="s">
        <v>253</v>
      </c>
      <c r="AF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9" s="2" t="str">
        <f>SUBSTITUTE(SUBSTITUTE(PROPERTIES[[#This Row],[PURCHASECOST_VALUE]], "PURCHASECOST_", ""), "_VALUE", "")</f>
        <v>ELECTRICENGINE</v>
      </c>
      <c r="AI389" s="7" t="str" cm="1">
        <f t="array" ref="AI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89" s="43" t="b">
        <v>0</v>
      </c>
      <c r="AK389" s="8" t="b">
        <v>0</v>
      </c>
      <c r="BB389"/>
      <c r="BC389"/>
      <c r="BD389"/>
    </row>
    <row r="390" spans="1:56">
      <c r="A390" s="2" t="s">
        <v>3104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5" t="str">
        <f>_xlfn.XLOOKUP(PROPERTIES[[#This Row],[VEHIDCODE]],CONTROL[VEHIDCODE],CONTROL[ENGLISH])</f>
        <v xml:space="preserve">Westinghouse FF-1 'Big Liz' </v>
      </c>
      <c r="F390" t="s">
        <v>796</v>
      </c>
      <c r="G390" s="45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8">
        <v>234</v>
      </c>
      <c r="R390">
        <v>4600</v>
      </c>
      <c r="S390">
        <v>33</v>
      </c>
      <c r="T390" s="25">
        <v>620</v>
      </c>
      <c r="U390" s="24">
        <f>IFERROR(PROPERTIES[[#This Row],[TE_STARTING_KN]]/(PROPERTIES[[#This Row],[WEIGHT]]*9.81),0)</f>
        <v>0.27008895510424563</v>
      </c>
      <c r="V390" s="24">
        <v>0</v>
      </c>
      <c r="W390" s="21">
        <f>ROUND(IF(IFERROR(PROPERTIES[[#This Row],[TE_COEFFICIENT_CALC]],0)=0,PROPERTIES[[#This Row],[TE_COEFFICIENT_MANUAL]],PROPERTIES[[#This Row],[TE_COEFFICIENT_CALC]]),3)</f>
        <v>0.27</v>
      </c>
      <c r="X390" s="9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1">
        <v>0</v>
      </c>
      <c r="Z390" s="7">
        <v>2</v>
      </c>
      <c r="AA390" t="s">
        <v>244</v>
      </c>
      <c r="AB390" t="s">
        <v>238</v>
      </c>
      <c r="AC390" t="s">
        <v>238</v>
      </c>
      <c r="AD390" s="2" t="s">
        <v>238</v>
      </c>
      <c r="AE390" s="2" t="s">
        <v>253</v>
      </c>
      <c r="AF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0" s="2" t="str">
        <f>SUBSTITUTE(SUBSTITUTE(PROPERTIES[[#This Row],[PURCHASECOST_VALUE]], "PURCHASECOST_", ""), "_VALUE", "")</f>
        <v>ELECTRICENGINE</v>
      </c>
      <c r="AI390" s="7" t="str" cm="1">
        <f t="array" ref="AI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90" s="43" t="b">
        <v>0</v>
      </c>
      <c r="AK390" s="8" t="b">
        <v>0</v>
      </c>
      <c r="BB390"/>
      <c r="BC390"/>
      <c r="BD390"/>
    </row>
    <row r="391" spans="1:56">
      <c r="A391" s="2" t="s">
        <v>3105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5" t="str">
        <f>_xlfn.XLOOKUP(PROPERTIES[[#This Row],[VEHIDCODE]],CONTROL[VEHIDCODE],CONTROL[ENGLISH])</f>
        <v>ELIN/Floridsdorf 1161</v>
      </c>
      <c r="F391" t="s">
        <v>579</v>
      </c>
      <c r="G391" s="45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8">
        <v>55</v>
      </c>
      <c r="R391">
        <v>1000</v>
      </c>
      <c r="S391">
        <v>40</v>
      </c>
      <c r="T391" s="25">
        <v>140</v>
      </c>
      <c r="U391" s="24">
        <f>IFERROR(PROPERTIES[[#This Row],[TE_STARTING_KN]]/(PROPERTIES[[#This Row],[WEIGHT]]*9.81),0)</f>
        <v>0.25947548883328697</v>
      </c>
      <c r="V391" s="24">
        <v>0</v>
      </c>
      <c r="W391" s="21">
        <f>ROUND(IF(IFERROR(PROPERTIES[[#This Row],[TE_COEFFICIENT_CALC]],0)=0,PROPERTIES[[#This Row],[TE_COEFFICIENT_MANUAL]],PROPERTIES[[#This Row],[TE_COEFFICIENT_CALC]]),3)</f>
        <v>0.25900000000000001</v>
      </c>
      <c r="X391" s="9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1">
        <v>0</v>
      </c>
      <c r="Z391" s="7">
        <v>0</v>
      </c>
      <c r="AA391" t="s">
        <v>239</v>
      </c>
      <c r="AB391" t="s">
        <v>238</v>
      </c>
      <c r="AC391" t="s">
        <v>238</v>
      </c>
      <c r="AD391" s="2" t="s">
        <v>238</v>
      </c>
      <c r="AE391" s="2" t="s">
        <v>253</v>
      </c>
      <c r="AF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1" s="2" t="str">
        <f>SUBSTITUTE(SUBSTITUTE(PROPERTIES[[#This Row],[PURCHASECOST_VALUE]], "PURCHASECOST_", ""), "_VALUE", "")</f>
        <v>ELECTRICENGINE</v>
      </c>
      <c r="AI391" s="7" t="str" cm="1">
        <f t="array" ref="AI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1" s="43" t="b">
        <v>0</v>
      </c>
      <c r="AK391" s="8" t="b">
        <v>0</v>
      </c>
      <c r="BB391"/>
      <c r="BC391"/>
      <c r="BD391"/>
    </row>
    <row r="392" spans="1:56">
      <c r="A392" s="2" t="s">
        <v>3106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5" t="str">
        <f>_xlfn.XLOOKUP(PROPERTIES[[#This Row],[VEHIDCODE]],CONTROL[VEHIDCODE],CONTROL[ENGLISH])</f>
        <v>Maffei/SSW Lok 5 'Adolphine'</v>
      </c>
      <c r="F392" t="s">
        <v>623</v>
      </c>
      <c r="G392" s="45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8">
        <v>32</v>
      </c>
      <c r="R392">
        <v>810</v>
      </c>
      <c r="S392">
        <v>50</v>
      </c>
      <c r="T392" s="25">
        <v>93</v>
      </c>
      <c r="U392" s="24">
        <f>IFERROR(PROPERTIES[[#This Row],[TE_STARTING_KN]]/(PROPERTIES[[#This Row],[WEIGHT]]*9.81),0)</f>
        <v>0.29625382262996941</v>
      </c>
      <c r="V392" s="24">
        <v>0</v>
      </c>
      <c r="W392" s="21">
        <f>ROUND(IF(IFERROR(PROPERTIES[[#This Row],[TE_COEFFICIENT_CALC]],0)=0,PROPERTIES[[#This Row],[TE_COEFFICIENT_MANUAL]],PROPERTIES[[#This Row],[TE_COEFFICIENT_CALC]]),3)</f>
        <v>0.29599999999999999</v>
      </c>
      <c r="X392" s="9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1">
        <v>0</v>
      </c>
      <c r="Z392" s="7">
        <v>0</v>
      </c>
      <c r="AA392" t="s">
        <v>239</v>
      </c>
      <c r="AB392" t="s">
        <v>238</v>
      </c>
      <c r="AC392" t="s">
        <v>238</v>
      </c>
      <c r="AD392" s="2" t="s">
        <v>238</v>
      </c>
      <c r="AE392" s="2" t="s">
        <v>253</v>
      </c>
      <c r="AF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2" s="2" t="str">
        <f>SUBSTITUTE(SUBSTITUTE(PROPERTIES[[#This Row],[PURCHASECOST_VALUE]], "PURCHASECOST_", ""), "_VALUE", "")</f>
        <v>ELECTRICENGINE</v>
      </c>
      <c r="AI392" s="7" t="str" cm="1">
        <f t="array" ref="AI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2" s="43" t="b">
        <v>0</v>
      </c>
      <c r="AK392" s="8" t="b">
        <v>0</v>
      </c>
      <c r="BB392"/>
      <c r="BC392"/>
      <c r="BD392"/>
    </row>
    <row r="393" spans="1:56">
      <c r="A393" s="2" t="s">
        <v>3107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5" t="str">
        <f>_xlfn.XLOOKUP(PROPERTIES[[#This Row],[VEHIDCODE]],CONTROL[VEHIDCODE],CONTROL[ENGLISH])</f>
        <v>Thune/ASEA EL10</v>
      </c>
      <c r="F393" t="s">
        <v>732</v>
      </c>
      <c r="G393" s="45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8">
        <v>47.3</v>
      </c>
      <c r="R393">
        <v>700</v>
      </c>
      <c r="S393">
        <v>45</v>
      </c>
      <c r="T393" s="25">
        <v>110</v>
      </c>
      <c r="U393" s="24">
        <f>IFERROR(PROPERTIES[[#This Row],[TE_STARTING_KN]]/(PROPERTIES[[#This Row],[WEIGHT]]*9.81),0)</f>
        <v>0.23706232368489677</v>
      </c>
      <c r="V393" s="24">
        <v>0</v>
      </c>
      <c r="W393" s="21">
        <f>ROUND(IF(IFERROR(PROPERTIES[[#This Row],[TE_COEFFICIENT_CALC]],0)=0,PROPERTIES[[#This Row],[TE_COEFFICIENT_MANUAL]],PROPERTIES[[#This Row],[TE_COEFFICIENT_CALC]]),3)</f>
        <v>0.23699999999999999</v>
      </c>
      <c r="X393" s="9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1">
        <v>0</v>
      </c>
      <c r="Z393" s="7">
        <v>0</v>
      </c>
      <c r="AA393" t="s">
        <v>243</v>
      </c>
      <c r="AB393" t="s">
        <v>238</v>
      </c>
      <c r="AC393" t="s">
        <v>238</v>
      </c>
      <c r="AD393" s="2" t="s">
        <v>238</v>
      </c>
      <c r="AE393" s="2" t="s">
        <v>253</v>
      </c>
      <c r="AF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3" s="2" t="str">
        <f>SUBSTITUTE(SUBSTITUTE(PROPERTIES[[#This Row],[PURCHASECOST_VALUE]], "PURCHASECOST_", ""), "_VALUE", "")</f>
        <v>ELECTRICENGINE</v>
      </c>
      <c r="AI393" s="7" t="str" cm="1">
        <f t="array" ref="AI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3" s="43" t="b">
        <v>0</v>
      </c>
      <c r="AK393" s="8" t="b">
        <v>0</v>
      </c>
      <c r="BB393"/>
      <c r="BC393"/>
      <c r="BD393"/>
    </row>
    <row r="394" spans="1:56">
      <c r="A394" s="2" t="s">
        <v>3108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5" t="str">
        <f>_xlfn.XLOOKUP(PROPERTIES[[#This Row],[VEHIDCODE]],CONTROL[VEHIDCODE],CONTROL[ENGLISH])</f>
        <v>AEG E 04</v>
      </c>
      <c r="F394" t="s">
        <v>623</v>
      </c>
      <c r="G394" s="45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8">
        <v>92</v>
      </c>
      <c r="R394">
        <v>2935</v>
      </c>
      <c r="S394">
        <v>110</v>
      </c>
      <c r="T394" s="25">
        <v>177</v>
      </c>
      <c r="U394" s="24">
        <f>IFERROR(PROPERTIES[[#This Row],[TE_STARTING_KN]]/(PROPERTIES[[#This Row],[WEIGHT]]*9.81),0)</f>
        <v>0.19611753756149447</v>
      </c>
      <c r="V394" s="24">
        <v>0</v>
      </c>
      <c r="W394" s="21">
        <f>ROUND(IF(IFERROR(PROPERTIES[[#This Row],[TE_COEFFICIENT_CALC]],0)=0,PROPERTIES[[#This Row],[TE_COEFFICIENT_MANUAL]],PROPERTIES[[#This Row],[TE_COEFFICIENT_CALC]]),3)</f>
        <v>0.19600000000000001</v>
      </c>
      <c r="X394" s="9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1">
        <v>0</v>
      </c>
      <c r="Z394" s="7">
        <v>0</v>
      </c>
      <c r="AA394" t="s">
        <v>239</v>
      </c>
      <c r="AB394" t="s">
        <v>238</v>
      </c>
      <c r="AC394" t="s">
        <v>238</v>
      </c>
      <c r="AD394" s="2" t="s">
        <v>238</v>
      </c>
      <c r="AE394" s="2" t="s">
        <v>253</v>
      </c>
      <c r="AF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4" s="2" t="str">
        <f>SUBSTITUTE(SUBSTITUTE(PROPERTIES[[#This Row],[PURCHASECOST_VALUE]], "PURCHASECOST_", ""), "_VALUE", "")</f>
        <v>ELECTRICENGINE</v>
      </c>
      <c r="AI394" s="7" t="str" cm="1">
        <f t="array" ref="AI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4" s="43" t="b">
        <v>0</v>
      </c>
      <c r="AK394" s="8" t="b">
        <v>0</v>
      </c>
      <c r="BB394"/>
      <c r="BC394"/>
      <c r="BD394"/>
    </row>
    <row r="395" spans="1:56">
      <c r="A395" s="2" t="s">
        <v>3109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5" t="str">
        <f>_xlfn.XLOOKUP(PROPERTIES[[#This Row],[VEHIDCODE]],CONTROL[VEHIDCODE],CONTROL[ENGLISH])</f>
        <v>GE 4-6-0+0-6-4OE GG-1</v>
      </c>
      <c r="F395" t="s">
        <v>796</v>
      </c>
      <c r="G395" s="45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8">
        <v>215</v>
      </c>
      <c r="R395">
        <v>4620</v>
      </c>
      <c r="S395">
        <v>160</v>
      </c>
      <c r="T395" s="25">
        <v>291</v>
      </c>
      <c r="U395" s="24">
        <f>IFERROR(PROPERTIES[[#This Row],[TE_STARTING_KN]]/(PROPERTIES[[#This Row],[WEIGHT]]*9.81),0)</f>
        <v>0.1379702723846099</v>
      </c>
      <c r="V395" s="24">
        <v>0</v>
      </c>
      <c r="W395" s="21">
        <f>ROUND(IF(IFERROR(PROPERTIES[[#This Row],[TE_COEFFICIENT_CALC]],0)=0,PROPERTIES[[#This Row],[TE_COEFFICIENT_MANUAL]],PROPERTIES[[#This Row],[TE_COEFFICIENT_CALC]]),3)</f>
        <v>0.13800000000000001</v>
      </c>
      <c r="X395" s="9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1">
        <v>0</v>
      </c>
      <c r="Z395" s="7">
        <v>2</v>
      </c>
      <c r="AA395" t="s">
        <v>244</v>
      </c>
      <c r="AB395" t="s">
        <v>238</v>
      </c>
      <c r="AC395" t="s">
        <v>238</v>
      </c>
      <c r="AD395" s="2" t="s">
        <v>238</v>
      </c>
      <c r="AE395" s="2" t="s">
        <v>253</v>
      </c>
      <c r="AF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5" s="2" t="str">
        <f>SUBSTITUTE(SUBSTITUTE(PROPERTIES[[#This Row],[PURCHASECOST_VALUE]], "PURCHASECOST_", ""), "_VALUE", "")</f>
        <v>ELECTRICENGINE</v>
      </c>
      <c r="AI395" s="7" t="str" cm="1">
        <f t="array" ref="AI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5" s="43" t="b">
        <v>0</v>
      </c>
      <c r="AK395" s="8" t="b">
        <v>0</v>
      </c>
      <c r="BB395"/>
      <c r="BC395"/>
      <c r="BD395"/>
    </row>
    <row r="396" spans="1:56">
      <c r="A396" s="2" t="s">
        <v>3110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5" t="str">
        <f>_xlfn.XLOOKUP(PROPERTIES[[#This Row],[VEHIDCODE]],CONTROL[VEHIDCODE],CONTROL[ENGLISH])</f>
        <v>SLM 1100 'Crocodile'</v>
      </c>
      <c r="F396" t="s">
        <v>623</v>
      </c>
      <c r="G396" s="45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8">
        <v>128</v>
      </c>
      <c r="R396">
        <v>3648</v>
      </c>
      <c r="S396">
        <v>75</v>
      </c>
      <c r="T396" s="25">
        <v>300</v>
      </c>
      <c r="U396" s="24">
        <f>IFERROR(PROPERTIES[[#This Row],[TE_STARTING_KN]]/(PROPERTIES[[#This Row],[WEIGHT]]*9.81),0)</f>
        <v>0.23891437308868502</v>
      </c>
      <c r="V396" s="24">
        <v>0</v>
      </c>
      <c r="W396" s="21">
        <f>ROUND(IF(IFERROR(PROPERTIES[[#This Row],[TE_COEFFICIENT_CALC]],0)=0,PROPERTIES[[#This Row],[TE_COEFFICIENT_MANUAL]],PROPERTIES[[#This Row],[TE_COEFFICIENT_CALC]]),3)</f>
        <v>0.23899999999999999</v>
      </c>
      <c r="X396" s="9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1">
        <v>0</v>
      </c>
      <c r="Z396" s="7">
        <v>0</v>
      </c>
      <c r="AA396" t="s">
        <v>239</v>
      </c>
      <c r="AB396" t="s">
        <v>238</v>
      </c>
      <c r="AC396" t="s">
        <v>238</v>
      </c>
      <c r="AD396" s="2" t="s">
        <v>238</v>
      </c>
      <c r="AE396" s="2" t="s">
        <v>253</v>
      </c>
      <c r="AF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6" s="2" t="str">
        <f>SUBSTITUTE(SUBSTITUTE(PROPERTIES[[#This Row],[PURCHASECOST_VALUE]], "PURCHASECOST_", ""), "_VALUE", "")</f>
        <v>ELECTRICENGINE</v>
      </c>
      <c r="AI396" s="7" t="str" cm="1">
        <f t="array" ref="AI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6" s="43" t="b">
        <v>0</v>
      </c>
      <c r="AK396" s="8" t="b">
        <v>0</v>
      </c>
      <c r="BB396"/>
      <c r="BC396"/>
      <c r="BD396"/>
    </row>
    <row r="397" spans="1:56">
      <c r="A397" s="2" t="s">
        <v>3111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5" t="str">
        <f>_xlfn.XLOOKUP(PROPERTIES[[#This Row],[VEHIDCODE]],CONTROL[VEHIDCODE],CONTROL[ENGLISH])</f>
        <v>AEG/BBC/Henschel/Siemens E03</v>
      </c>
      <c r="F397" t="s">
        <v>623</v>
      </c>
      <c r="G397" s="45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8">
        <v>114</v>
      </c>
      <c r="R397">
        <v>9980</v>
      </c>
      <c r="S397">
        <v>200</v>
      </c>
      <c r="T397" s="25">
        <v>312</v>
      </c>
      <c r="U397" s="24">
        <f>IFERROR(PROPERTIES[[#This Row],[TE_STARTING_KN]]/(PROPERTIES[[#This Row],[WEIGHT]]*9.81),0)</f>
        <v>0.27898492408391007</v>
      </c>
      <c r="V397" s="24">
        <v>0</v>
      </c>
      <c r="W397" s="21">
        <f>ROUND(IF(IFERROR(PROPERTIES[[#This Row],[TE_COEFFICIENT_CALC]],0)=0,PROPERTIES[[#This Row],[TE_COEFFICIENT_MANUAL]],PROPERTIES[[#This Row],[TE_COEFFICIENT_CALC]]),3)</f>
        <v>0.27900000000000003</v>
      </c>
      <c r="X397" s="9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1">
        <v>0</v>
      </c>
      <c r="Z397" s="7">
        <v>0</v>
      </c>
      <c r="AA397" t="s">
        <v>239</v>
      </c>
      <c r="AB397" t="s">
        <v>238</v>
      </c>
      <c r="AC397" t="s">
        <v>238</v>
      </c>
      <c r="AD397" s="2" t="s">
        <v>238</v>
      </c>
      <c r="AE397" s="2" t="s">
        <v>253</v>
      </c>
      <c r="AF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7" s="2" t="str">
        <f>SUBSTITUTE(SUBSTITUTE(PROPERTIES[[#This Row],[PURCHASECOST_VALUE]], "PURCHASECOST_", ""), "_VALUE", "")</f>
        <v>ELECTRICENGINE</v>
      </c>
      <c r="AI397" s="7" t="str" cm="1">
        <f t="array" ref="AI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7" s="43" t="b">
        <v>0</v>
      </c>
      <c r="AK397" s="8" t="b">
        <v>0</v>
      </c>
      <c r="BB397"/>
      <c r="BC397"/>
      <c r="BD397"/>
    </row>
    <row r="398" spans="1:56">
      <c r="A398" s="2" t="s">
        <v>3112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5" t="str">
        <f>_xlfn.XLOOKUP(PROPERTIES[[#This Row],[VEHIDCODE]],CONTROL[VEHIDCODE],CONTROL[ENGLISH])</f>
        <v>Krauss/WASSEG E 91.9</v>
      </c>
      <c r="F398" t="s">
        <v>623</v>
      </c>
      <c r="G398" s="45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8">
        <v>124</v>
      </c>
      <c r="R398">
        <v>2230</v>
      </c>
      <c r="S398">
        <v>55</v>
      </c>
      <c r="T398" s="25">
        <v>294</v>
      </c>
      <c r="U398" s="24">
        <f>IFERROR(PROPERTIES[[#This Row],[TE_STARTING_KN]]/(PROPERTIES[[#This Row],[WEIGHT]]*9.81),0)</f>
        <v>0.24168886258261812</v>
      </c>
      <c r="V398" s="24">
        <v>0</v>
      </c>
      <c r="W398" s="21">
        <f>ROUND(IF(IFERROR(PROPERTIES[[#This Row],[TE_COEFFICIENT_CALC]],0)=0,PROPERTIES[[#This Row],[TE_COEFFICIENT_MANUAL]],PROPERTIES[[#This Row],[TE_COEFFICIENT_CALC]]),3)</f>
        <v>0.24199999999999999</v>
      </c>
      <c r="X398" s="9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1">
        <v>0</v>
      </c>
      <c r="Z398" s="7">
        <v>0</v>
      </c>
      <c r="AA398" t="s">
        <v>239</v>
      </c>
      <c r="AB398" t="s">
        <v>238</v>
      </c>
      <c r="AC398" t="s">
        <v>238</v>
      </c>
      <c r="AD398" s="2" t="s">
        <v>238</v>
      </c>
      <c r="AE398" s="2" t="s">
        <v>253</v>
      </c>
      <c r="AF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8" s="2" t="str">
        <f>SUBSTITUTE(SUBSTITUTE(PROPERTIES[[#This Row],[PURCHASECOST_VALUE]], "PURCHASECOST_", ""), "_VALUE", "")</f>
        <v>ELECTRICENGINE</v>
      </c>
      <c r="AI398" s="7" t="str" cm="1">
        <f t="array" ref="AI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98" s="43" t="b">
        <v>0</v>
      </c>
      <c r="AK398" s="8" t="b">
        <v>0</v>
      </c>
      <c r="BB398"/>
      <c r="BC398"/>
      <c r="BD398"/>
    </row>
    <row r="399" spans="1:56">
      <c r="A399" s="2" t="s">
        <v>3113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5" t="str">
        <f>_xlfn.XLOOKUP(PROPERTIES[[#This Row],[VEHIDCODE]],CONTROL[VEHIDCODE],CONTROL[ENGLISH])</f>
        <v>SLM Ce 4/4</v>
      </c>
      <c r="F399" t="s">
        <v>609</v>
      </c>
      <c r="G399" s="45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8">
        <v>70</v>
      </c>
      <c r="R399">
        <v>1000</v>
      </c>
      <c r="S399">
        <v>65</v>
      </c>
      <c r="T399" s="25">
        <v>74</v>
      </c>
      <c r="U399" s="24">
        <f>IFERROR(PROPERTIES[[#This Row],[TE_STARTING_KN]]/(PROPERTIES[[#This Row],[WEIGHT]]*9.81),0)</f>
        <v>0.10776175913790592</v>
      </c>
      <c r="V399" s="24">
        <v>0</v>
      </c>
      <c r="W399" s="21">
        <f>ROUND(IF(IFERROR(PROPERTIES[[#This Row],[TE_COEFFICIENT_CALC]],0)=0,PROPERTIES[[#This Row],[TE_COEFFICIENT_MANUAL]],PROPERTIES[[#This Row],[TE_COEFFICIENT_CALC]]),3)</f>
        <v>0.108</v>
      </c>
      <c r="X399" s="9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1">
        <v>0</v>
      </c>
      <c r="Z399" s="7">
        <v>0</v>
      </c>
      <c r="AA399" t="s">
        <v>239</v>
      </c>
      <c r="AB399" t="s">
        <v>238</v>
      </c>
      <c r="AC399" t="s">
        <v>238</v>
      </c>
      <c r="AD399" s="2" t="s">
        <v>238</v>
      </c>
      <c r="AE399" s="2" t="s">
        <v>253</v>
      </c>
      <c r="AF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9" s="2" t="str">
        <f>SUBSTITUTE(SUBSTITUTE(PROPERTIES[[#This Row],[PURCHASECOST_VALUE]], "PURCHASECOST_", ""), "_VALUE", "")</f>
        <v>ELECTRICENGINE</v>
      </c>
      <c r="AI399" s="7" t="str" cm="1">
        <f t="array" ref="AI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99" s="43" t="b">
        <v>0</v>
      </c>
      <c r="AK399" s="8" t="b">
        <v>0</v>
      </c>
      <c r="BB399"/>
      <c r="BC399"/>
      <c r="BD399"/>
    </row>
    <row r="400" spans="1:56">
      <c r="A400" s="2" t="s">
        <v>3114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5" t="str">
        <f>_xlfn.XLOOKUP(PROPERTIES[[#This Row],[VEHIDCODE]],CONTROL[VEHIDCODE],CONTROL[ENGLISH])</f>
        <v>SLM Ae 6/6</v>
      </c>
      <c r="F400" t="s">
        <v>609</v>
      </c>
      <c r="G400" s="45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8">
        <v>120</v>
      </c>
      <c r="R400">
        <v>5770</v>
      </c>
      <c r="S400">
        <v>120</v>
      </c>
      <c r="T400" s="25">
        <v>392</v>
      </c>
      <c r="U400" s="24">
        <f>IFERROR(PROPERTIES[[#This Row],[TE_STARTING_KN]]/(PROPERTIES[[#This Row],[WEIGHT]]*9.81),0)</f>
        <v>0.3329935440027183</v>
      </c>
      <c r="V400" s="24">
        <v>0</v>
      </c>
      <c r="W400" s="21">
        <f>ROUND(IF(IFERROR(PROPERTIES[[#This Row],[TE_COEFFICIENT_CALC]],0)=0,PROPERTIES[[#This Row],[TE_COEFFICIENT_MANUAL]],PROPERTIES[[#This Row],[TE_COEFFICIENT_CALC]]),3)</f>
        <v>0.33300000000000002</v>
      </c>
      <c r="X400" s="9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1">
        <v>0</v>
      </c>
      <c r="Z400" s="7">
        <v>0</v>
      </c>
      <c r="AA400" t="s">
        <v>239</v>
      </c>
      <c r="AB400" t="s">
        <v>238</v>
      </c>
      <c r="AC400" t="s">
        <v>238</v>
      </c>
      <c r="AD400" s="2" t="s">
        <v>238</v>
      </c>
      <c r="AE400" s="2" t="s">
        <v>253</v>
      </c>
      <c r="AF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0" s="2" t="str">
        <f>SUBSTITUTE(SUBSTITUTE(PROPERTIES[[#This Row],[PURCHASECOST_VALUE]], "PURCHASECOST_", ""), "_VALUE", "")</f>
        <v>ELECTRICENGINE</v>
      </c>
      <c r="AI400" s="7" t="str" cm="1">
        <f t="array" ref="AI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0" s="43" t="b">
        <v>0</v>
      </c>
      <c r="AK400" s="8" t="b">
        <v>0</v>
      </c>
      <c r="BB400"/>
      <c r="BC400"/>
      <c r="BD400"/>
    </row>
    <row r="401" spans="1:56">
      <c r="A401" s="2" t="s">
        <v>3115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5" t="str">
        <f>_xlfn.XLOOKUP(PROPERTIES[[#This Row],[VEHIDCODE]],CONTROL[VEHIDCODE],CONTROL[ENGLISH])</f>
        <v>SLM-ABB Lok 2000</v>
      </c>
      <c r="F401" t="s">
        <v>609</v>
      </c>
      <c r="G401" s="45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8">
        <v>84</v>
      </c>
      <c r="R401">
        <v>7510</v>
      </c>
      <c r="S401">
        <v>230</v>
      </c>
      <c r="T401" s="25">
        <v>300</v>
      </c>
      <c r="U401" s="24">
        <f>IFERROR(PROPERTIES[[#This Row],[TE_STARTING_KN]]/(PROPERTIES[[#This Row],[WEIGHT]]*9.81),0)</f>
        <v>0.36405999708752002</v>
      </c>
      <c r="V401" s="24">
        <v>0</v>
      </c>
      <c r="W401" s="21">
        <f>ROUND(IF(IFERROR(PROPERTIES[[#This Row],[TE_COEFFICIENT_CALC]],0)=0,PROPERTIES[[#This Row],[TE_COEFFICIENT_MANUAL]],PROPERTIES[[#This Row],[TE_COEFFICIENT_CALC]]),3)</f>
        <v>0.36399999999999999</v>
      </c>
      <c r="X401" s="9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1">
        <v>0</v>
      </c>
      <c r="Z401" s="7">
        <v>0</v>
      </c>
      <c r="AA401" t="s">
        <v>2015</v>
      </c>
      <c r="AB401" t="s">
        <v>247</v>
      </c>
      <c r="AC401" t="s">
        <v>238</v>
      </c>
      <c r="AD401" s="2" t="s">
        <v>238</v>
      </c>
      <c r="AE401" s="2" t="s">
        <v>253</v>
      </c>
      <c r="AF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1" s="2" t="str">
        <f>SUBSTITUTE(SUBSTITUTE(PROPERTIES[[#This Row],[PURCHASECOST_VALUE]], "PURCHASECOST_", ""), "_VALUE", "")</f>
        <v>ELECTRICENGINE</v>
      </c>
      <c r="AI401" s="7" t="str" cm="1">
        <f t="array" ref="AI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1" s="43" t="b">
        <v>0</v>
      </c>
      <c r="AK401" s="8" t="b">
        <v>0</v>
      </c>
      <c r="BB401"/>
      <c r="BC401"/>
      <c r="BD401"/>
    </row>
    <row r="402" spans="1:56">
      <c r="A402" s="2" t="s">
        <v>3116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5" t="str">
        <f>_xlfn.XLOOKUP(PROPERTIES[[#This Row],[VEHIDCODE]],CONTROL[VEHIDCODE],CONTROL[ENGLISH])</f>
        <v>Stadler Butler Eem 923</v>
      </c>
      <c r="F402" t="s">
        <v>609</v>
      </c>
      <c r="G402" s="45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8">
        <v>45</v>
      </c>
      <c r="R402">
        <v>2012</v>
      </c>
      <c r="S402">
        <v>120</v>
      </c>
      <c r="T402" s="25">
        <v>150</v>
      </c>
      <c r="U402" s="24">
        <f>IFERROR(PROPERTIES[[#This Row],[TE_STARTING_KN]]/(PROPERTIES[[#This Row],[WEIGHT]]*9.81),0)</f>
        <v>0.33978933061501865</v>
      </c>
      <c r="V402" s="24">
        <v>0</v>
      </c>
      <c r="W402" s="21">
        <f>ROUND(IF(IFERROR(PROPERTIES[[#This Row],[TE_COEFFICIENT_CALC]],0)=0,PROPERTIES[[#This Row],[TE_COEFFICIENT_MANUAL]],PROPERTIES[[#This Row],[TE_COEFFICIENT_CALC]]),3)</f>
        <v>0.34</v>
      </c>
      <c r="X402" s="9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1">
        <v>0</v>
      </c>
      <c r="Z402" s="7">
        <v>0</v>
      </c>
      <c r="AA402" t="s">
        <v>239</v>
      </c>
      <c r="AB402" t="s">
        <v>238</v>
      </c>
      <c r="AC402" t="s">
        <v>238</v>
      </c>
      <c r="AD402" s="2" t="s">
        <v>238</v>
      </c>
      <c r="AE402" s="2" t="s">
        <v>253</v>
      </c>
      <c r="AF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2" s="2" t="str">
        <f>SUBSTITUTE(SUBSTITUTE(PROPERTIES[[#This Row],[PURCHASECOST_VALUE]], "PURCHASECOST_", ""), "_VALUE", "")</f>
        <v>ELECTRICENGINE</v>
      </c>
      <c r="AI402" s="7" t="str" cm="1">
        <f t="array" ref="AI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02" s="43" t="b">
        <v>0</v>
      </c>
      <c r="AK402" s="8" t="b">
        <v>0</v>
      </c>
      <c r="BB402"/>
      <c r="BC402"/>
      <c r="BD402"/>
    </row>
    <row r="403" spans="1:56">
      <c r="A403" s="2" t="s">
        <v>3117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5" t="str">
        <f>_xlfn.XLOOKUP(PROPERTIES[[#This Row],[VEHIDCODE]],CONTROL[VEHIDCODE],CONTROL[ENGLISH])</f>
        <v>SGP 1044</v>
      </c>
      <c r="F403" t="s">
        <v>579</v>
      </c>
      <c r="G403" s="45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8">
        <v>84</v>
      </c>
      <c r="R403">
        <v>6970</v>
      </c>
      <c r="S403">
        <v>160</v>
      </c>
      <c r="T403" s="25">
        <v>341</v>
      </c>
      <c r="U403" s="24">
        <f>IFERROR(PROPERTIES[[#This Row],[TE_STARTING_KN]]/(PROPERTIES[[#This Row],[WEIGHT]]*9.81),0)</f>
        <v>0.4138148633561477</v>
      </c>
      <c r="V403" s="24">
        <v>0</v>
      </c>
      <c r="W403" s="21">
        <f>ROUND(IF(IFERROR(PROPERTIES[[#This Row],[TE_COEFFICIENT_CALC]],0)=0,PROPERTIES[[#This Row],[TE_COEFFICIENT_MANUAL]],PROPERTIES[[#This Row],[TE_COEFFICIENT_CALC]]),3)</f>
        <v>0.41399999999999998</v>
      </c>
      <c r="X403" s="9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1">
        <v>0</v>
      </c>
      <c r="Z403" s="7">
        <v>0</v>
      </c>
      <c r="AA403" t="s">
        <v>239</v>
      </c>
      <c r="AB403" t="s">
        <v>238</v>
      </c>
      <c r="AC403" t="s">
        <v>238</v>
      </c>
      <c r="AD403" s="2" t="s">
        <v>238</v>
      </c>
      <c r="AE403" s="2" t="s">
        <v>253</v>
      </c>
      <c r="AF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3" s="2" t="str">
        <f>SUBSTITUTE(SUBSTITUTE(PROPERTIES[[#This Row],[PURCHASECOST_VALUE]], "PURCHASECOST_", ""), "_VALUE", "")</f>
        <v>ELECTRICENGINE</v>
      </c>
      <c r="AI403" s="7" t="str" cm="1">
        <f t="array" ref="AI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3" s="43" t="b">
        <v>0</v>
      </c>
      <c r="AK403" s="8" t="b">
        <v>0</v>
      </c>
      <c r="BB403"/>
      <c r="BC403"/>
      <c r="BD403"/>
    </row>
    <row r="404" spans="1:56">
      <c r="A404" s="2" t="s">
        <v>3118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5" t="str">
        <f>_xlfn.XLOOKUP(PROPERTIES[[#This Row],[VEHIDCODE]],CONTROL[VEHIDCODE],CONTROL[ENGLISH])</f>
        <v>SGP 1063</v>
      </c>
      <c r="F404" t="s">
        <v>579</v>
      </c>
      <c r="G404" s="45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8">
        <v>82</v>
      </c>
      <c r="R404">
        <v>2680</v>
      </c>
      <c r="S404">
        <v>100</v>
      </c>
      <c r="T404" s="25">
        <v>260</v>
      </c>
      <c r="U404" s="24">
        <f>IFERROR(PROPERTIES[[#This Row],[TE_STARTING_KN]]/(PROPERTIES[[#This Row],[WEIGHT]]*9.81),0)</f>
        <v>0.32321424131672505</v>
      </c>
      <c r="V404" s="24">
        <v>0</v>
      </c>
      <c r="W404" s="21">
        <f>ROUND(IF(IFERROR(PROPERTIES[[#This Row],[TE_COEFFICIENT_CALC]],0)=0,PROPERTIES[[#This Row],[TE_COEFFICIENT_MANUAL]],PROPERTIES[[#This Row],[TE_COEFFICIENT_CALC]]),3)</f>
        <v>0.32300000000000001</v>
      </c>
      <c r="X404" s="9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1">
        <v>0</v>
      </c>
      <c r="Z404" s="7">
        <v>0</v>
      </c>
      <c r="AA404" t="s">
        <v>239</v>
      </c>
      <c r="AB404" t="s">
        <v>238</v>
      </c>
      <c r="AC404" t="s">
        <v>238</v>
      </c>
      <c r="AD404" s="2" t="s">
        <v>238</v>
      </c>
      <c r="AE404" s="2" t="s">
        <v>253</v>
      </c>
      <c r="AF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4" s="2" t="str">
        <f>SUBSTITUTE(SUBSTITUTE(PROPERTIES[[#This Row],[PURCHASECOST_VALUE]], "PURCHASECOST_", ""), "_VALUE", "")</f>
        <v>ELECTRICENGINE</v>
      </c>
      <c r="AI404" s="7" t="str" cm="1">
        <f t="array" ref="AI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4" s="43" t="b">
        <v>0</v>
      </c>
      <c r="AK404" s="8" t="b">
        <v>0</v>
      </c>
      <c r="BB404"/>
      <c r="BC404"/>
      <c r="BD404"/>
    </row>
    <row r="405" spans="1:56">
      <c r="A405" s="2" t="s">
        <v>3119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5" t="str">
        <f>_xlfn.XLOOKUP(PROPERTIES[[#This Row],[VEHIDCODE]],CONTROL[VEHIDCODE],CONTROL[ENGLISH])</f>
        <v>ASEA Dm3</v>
      </c>
      <c r="F405" t="s">
        <v>761</v>
      </c>
      <c r="G405" s="45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8">
        <v>273</v>
      </c>
      <c r="R405">
        <v>9700</v>
      </c>
      <c r="S405">
        <v>75</v>
      </c>
      <c r="T405" s="25">
        <v>940</v>
      </c>
      <c r="U405" s="24">
        <f>IFERROR(PROPERTIES[[#This Row],[TE_STARTING_KN]]/(PROPERTIES[[#This Row],[WEIGHT]]*9.81),0)</f>
        <v>0.35099117667925006</v>
      </c>
      <c r="V405" s="24">
        <v>0</v>
      </c>
      <c r="W405" s="21">
        <f>ROUND(IF(IFERROR(PROPERTIES[[#This Row],[TE_COEFFICIENT_CALC]],0)=0,PROPERTIES[[#This Row],[TE_COEFFICIENT_MANUAL]],PROPERTIES[[#This Row],[TE_COEFFICIENT_CALC]]),3)</f>
        <v>0.35099999999999998</v>
      </c>
      <c r="X405" s="9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1">
        <v>0</v>
      </c>
      <c r="Z405" s="7">
        <v>0</v>
      </c>
      <c r="AA405" t="s">
        <v>243</v>
      </c>
      <c r="AB405" t="s">
        <v>238</v>
      </c>
      <c r="AC405" t="s">
        <v>238</v>
      </c>
      <c r="AD405" s="2" t="s">
        <v>238</v>
      </c>
      <c r="AE405" s="2" t="s">
        <v>253</v>
      </c>
      <c r="AF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5" s="2" t="str">
        <f>SUBSTITUTE(SUBSTITUTE(PROPERTIES[[#This Row],[PURCHASECOST_VALUE]], "PURCHASECOST_", ""), "_VALUE", "")</f>
        <v>ELECTRICENGINE</v>
      </c>
      <c r="AI405" s="7" t="str" cm="1">
        <f t="array" ref="AI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5" s="43" t="b">
        <v>0</v>
      </c>
      <c r="AK405" s="8" t="b">
        <v>0</v>
      </c>
      <c r="BB405"/>
      <c r="BC405"/>
      <c r="BD405"/>
    </row>
    <row r="406" spans="1:56">
      <c r="A406" s="2" t="s">
        <v>3120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5" t="str">
        <f>_xlfn.XLOOKUP(PROPERTIES[[#This Row],[VEHIDCODE]],CONTROL[VEHIDCODE],CONTROL[ENGLISH])</f>
        <v>Bombardier Traxx H80 AC</v>
      </c>
      <c r="F406" t="s">
        <v>761</v>
      </c>
      <c r="G406" s="45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8">
        <f>180*2</f>
        <v>360</v>
      </c>
      <c r="R406">
        <f>7200*2</f>
        <v>14400</v>
      </c>
      <c r="S406">
        <v>80</v>
      </c>
      <c r="T406" s="25">
        <f>600*2</f>
        <v>1200</v>
      </c>
      <c r="U406" s="24">
        <f>IFERROR(PROPERTIES[[#This Row],[TE_STARTING_KN]]/(PROPERTIES[[#This Row],[WEIGHT]]*9.81),0)</f>
        <v>0.33978933061501865</v>
      </c>
      <c r="V406" s="24">
        <v>0</v>
      </c>
      <c r="W406" s="21">
        <f>ROUND(IF(IFERROR(PROPERTIES[[#This Row],[TE_COEFFICIENT_CALC]],0)=0,PROPERTIES[[#This Row],[TE_COEFFICIENT_MANUAL]],PROPERTIES[[#This Row],[TE_COEFFICIENT_CALC]]),3)</f>
        <v>0.34</v>
      </c>
      <c r="X406" s="9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1">
        <v>0</v>
      </c>
      <c r="Z406" s="7">
        <v>8</v>
      </c>
      <c r="AA406" t="s">
        <v>243</v>
      </c>
      <c r="AB406" t="s">
        <v>238</v>
      </c>
      <c r="AC406" t="s">
        <v>238</v>
      </c>
      <c r="AD406" s="2" t="s">
        <v>238</v>
      </c>
      <c r="AE406" s="2" t="s">
        <v>253</v>
      </c>
      <c r="AF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6" s="2" t="str">
        <f>SUBSTITUTE(SUBSTITUTE(PROPERTIES[[#This Row],[PURCHASECOST_VALUE]], "PURCHASECOST_", ""), "_VALUE", "")</f>
        <v>ELECTRICENGINE</v>
      </c>
      <c r="AI406" s="7" t="str" cm="1">
        <f t="array" ref="AI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6" s="43" t="b">
        <v>0</v>
      </c>
      <c r="AK406" s="8" t="b">
        <v>0</v>
      </c>
      <c r="BB406"/>
      <c r="BC406"/>
      <c r="BD406"/>
    </row>
    <row r="407" spans="1:56">
      <c r="A407" s="2" t="s">
        <v>3121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5" t="str">
        <f>_xlfn.XLOOKUP(PROPERTIES[[#This Row],[VEHIDCODE]],CONTROL[VEHIDCODE],CONTROL[ENGLISH])</f>
        <v>Siemens Oa</v>
      </c>
      <c r="F407" t="s">
        <v>761</v>
      </c>
      <c r="G407" s="45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8">
        <v>136.80000000000001</v>
      </c>
      <c r="R407">
        <v>1600</v>
      </c>
      <c r="S407">
        <v>60</v>
      </c>
      <c r="T407" s="25">
        <v>248</v>
      </c>
      <c r="U407" s="24">
        <f>IFERROR(PROPERTIES[[#This Row],[TE_STARTING_KN]]/(PROPERTIES[[#This Row],[WEIGHT]]*9.81),0)</f>
        <v>0.18479770612395749</v>
      </c>
      <c r="V407" s="24">
        <v>0</v>
      </c>
      <c r="W407" s="21">
        <f>ROUND(IF(IFERROR(PROPERTIES[[#This Row],[TE_COEFFICIENT_CALC]],0)=0,PROPERTIES[[#This Row],[TE_COEFFICIENT_MANUAL]],PROPERTIES[[#This Row],[TE_COEFFICIENT_CALC]]),3)</f>
        <v>0.185</v>
      </c>
      <c r="X407" s="9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1">
        <v>0</v>
      </c>
      <c r="Z407" s="7">
        <v>6</v>
      </c>
      <c r="AA407" t="s">
        <v>243</v>
      </c>
      <c r="AB407" t="s">
        <v>238</v>
      </c>
      <c r="AC407" t="s">
        <v>238</v>
      </c>
      <c r="AD407" s="2" t="s">
        <v>238</v>
      </c>
      <c r="AE407" s="2" t="s">
        <v>253</v>
      </c>
      <c r="AF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7" s="2" t="str">
        <f>SUBSTITUTE(SUBSTITUTE(PROPERTIES[[#This Row],[PURCHASECOST_VALUE]], "PURCHASECOST_", ""), "_VALUE", "")</f>
        <v>ELECTRICENGINE</v>
      </c>
      <c r="AI407" s="7" t="str" cm="1">
        <f t="array" ref="AI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07" s="43" t="b">
        <v>0</v>
      </c>
      <c r="AK407" s="8" t="b">
        <v>0</v>
      </c>
      <c r="BB407"/>
      <c r="BC407"/>
      <c r="BD407"/>
    </row>
    <row r="408" spans="1:56">
      <c r="A408" s="2" t="s">
        <v>3122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5" t="str">
        <f>_xlfn.XLOOKUP(PROPERTIES[[#This Row],[VEHIDCODE]],CONTROL[VEHIDCODE],CONTROL[ENGLISH])</f>
        <v>ASEA F</v>
      </c>
      <c r="F408" t="s">
        <v>761</v>
      </c>
      <c r="G408" s="45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8">
        <v>102</v>
      </c>
      <c r="R408">
        <v>3460</v>
      </c>
      <c r="S408">
        <v>135</v>
      </c>
      <c r="T408" s="25">
        <v>203</v>
      </c>
      <c r="U408" s="24">
        <f>IFERROR(PROPERTIES[[#This Row],[TE_STARTING_KN]]/(PROPERTIES[[#This Row],[WEIGHT]]*9.81),0)</f>
        <v>0.20287421798484939</v>
      </c>
      <c r="V408" s="24">
        <v>0</v>
      </c>
      <c r="W408" s="21">
        <f>ROUND(IF(IFERROR(PROPERTIES[[#This Row],[TE_COEFFICIENT_CALC]],0)=0,PROPERTIES[[#This Row],[TE_COEFFICIENT_MANUAL]],PROPERTIES[[#This Row],[TE_COEFFICIENT_CALC]]),3)</f>
        <v>0.20300000000000001</v>
      </c>
      <c r="X408" s="9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1">
        <v>0</v>
      </c>
      <c r="Z408" s="7">
        <v>0</v>
      </c>
      <c r="AA408" t="s">
        <v>243</v>
      </c>
      <c r="AB408" t="s">
        <v>238</v>
      </c>
      <c r="AC408" t="s">
        <v>238</v>
      </c>
      <c r="AD408" s="2" t="s">
        <v>238</v>
      </c>
      <c r="AE408" s="2" t="s">
        <v>253</v>
      </c>
      <c r="AF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8" s="2" t="str">
        <f>SUBSTITUTE(SUBSTITUTE(PROPERTIES[[#This Row],[PURCHASECOST_VALUE]], "PURCHASECOST_", ""), "_VALUE", "")</f>
        <v>ELECTRICENGINE</v>
      </c>
      <c r="AI408" s="7" t="str" cm="1">
        <f t="array" ref="AI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8" s="43" t="b">
        <v>0</v>
      </c>
      <c r="AK408" s="8" t="b">
        <v>0</v>
      </c>
      <c r="BB408"/>
      <c r="BC408"/>
      <c r="BD408"/>
    </row>
    <row r="409" spans="1:56">
      <c r="A409" s="2" t="s">
        <v>3123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5" t="str">
        <f>_xlfn.XLOOKUP(PROPERTIES[[#This Row],[VEHIDCODE]],CONTROL[VEHIDCODE],CONTROL[ENGLISH])</f>
        <v>Thyssen-Henschel EL17</v>
      </c>
      <c r="F409" t="s">
        <v>732</v>
      </c>
      <c r="G409" s="45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8">
        <v>64</v>
      </c>
      <c r="R409">
        <v>4000</v>
      </c>
      <c r="S409">
        <v>150</v>
      </c>
      <c r="T409" s="25">
        <v>240</v>
      </c>
      <c r="U409" s="24">
        <f>IFERROR(PROPERTIES[[#This Row],[TE_STARTING_KN]]/(PROPERTIES[[#This Row],[WEIGHT]]*9.81),0)</f>
        <v>0.38226299694189603</v>
      </c>
      <c r="V409" s="24">
        <v>0</v>
      </c>
      <c r="W409" s="21">
        <f>ROUND(IF(IFERROR(PROPERTIES[[#This Row],[TE_COEFFICIENT_CALC]],0)=0,PROPERTIES[[#This Row],[TE_COEFFICIENT_MANUAL]],PROPERTIES[[#This Row],[TE_COEFFICIENT_CALC]]),3)</f>
        <v>0.38200000000000001</v>
      </c>
      <c r="X409" s="9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1">
        <v>0</v>
      </c>
      <c r="Z409" s="7">
        <v>0</v>
      </c>
      <c r="AA409" t="s">
        <v>243</v>
      </c>
      <c r="AB409" t="s">
        <v>238</v>
      </c>
      <c r="AC409" t="s">
        <v>238</v>
      </c>
      <c r="AD409" s="2" t="s">
        <v>238</v>
      </c>
      <c r="AE409" s="2" t="s">
        <v>253</v>
      </c>
      <c r="AF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9" s="2" t="str">
        <f>SUBSTITUTE(SUBSTITUTE(PROPERTIES[[#This Row],[PURCHASECOST_VALUE]], "PURCHASECOST_", ""), "_VALUE", "")</f>
        <v>ELECTRICENGINE</v>
      </c>
      <c r="AI409" s="7" t="str" cm="1">
        <f t="array" ref="AI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9" s="43" t="b">
        <v>0</v>
      </c>
      <c r="AK409" s="8" t="b">
        <v>0</v>
      </c>
      <c r="BB409"/>
      <c r="BC409"/>
      <c r="BD409"/>
    </row>
    <row r="410" spans="1:56">
      <c r="A410" s="2" t="s">
        <v>3124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5" t="str">
        <f>_xlfn.XLOOKUP(PROPERTIES[[#This Row],[VEHIDCODE]],CONTROL[VEHIDCODE],CONTROL[ENGLISH])</f>
        <v>Borsig/SSW ES 6</v>
      </c>
      <c r="F410" t="s">
        <v>623</v>
      </c>
      <c r="G410" s="45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8">
        <v>81</v>
      </c>
      <c r="R410">
        <v>1186</v>
      </c>
      <c r="S410">
        <v>100</v>
      </c>
      <c r="T410" s="25">
        <v>81</v>
      </c>
      <c r="U410" s="24">
        <f>IFERROR(PROPERTIES[[#This Row],[TE_STARTING_KN]]/(PROPERTIES[[#This Row],[WEIGHT]]*9.81),0)</f>
        <v>0.1019367991845056</v>
      </c>
      <c r="V410" s="24">
        <v>0</v>
      </c>
      <c r="W410" s="21">
        <f>ROUND(IF(IFERROR(PROPERTIES[[#This Row],[TE_COEFFICIENT_CALC]],0)=0,PROPERTIES[[#This Row],[TE_COEFFICIENT_MANUAL]],PROPERTIES[[#This Row],[TE_COEFFICIENT_CALC]]),3)</f>
        <v>0.10199999999999999</v>
      </c>
      <c r="X410" s="9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1">
        <v>0</v>
      </c>
      <c r="Z410" s="7">
        <v>0</v>
      </c>
      <c r="AA410" t="s">
        <v>239</v>
      </c>
      <c r="AB410" t="s">
        <v>238</v>
      </c>
      <c r="AC410" t="s">
        <v>238</v>
      </c>
      <c r="AD410" s="2" t="s">
        <v>238</v>
      </c>
      <c r="AE410" s="2" t="s">
        <v>253</v>
      </c>
      <c r="AF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0" s="2" t="str">
        <f>SUBSTITUTE(SUBSTITUTE(PROPERTIES[[#This Row],[PURCHASECOST_VALUE]], "PURCHASECOST_", ""), "_VALUE", "")</f>
        <v>ELECTRICENGINE</v>
      </c>
      <c r="AI410" s="7" t="str" cm="1">
        <f t="array" ref="AI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10" s="43" t="b">
        <v>0</v>
      </c>
      <c r="AK410" s="8" t="b">
        <v>0</v>
      </c>
      <c r="BB410"/>
      <c r="BC410"/>
      <c r="BD410"/>
    </row>
    <row r="411" spans="1:56">
      <c r="A411" s="2" t="s">
        <v>3125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5" t="str">
        <f>_xlfn.XLOOKUP(PROPERTIES[[#This Row],[VEHIDCODE]],CONTROL[VEHIDCODE],CONTROL[ENGLISH])</f>
        <v>GE EL-2B</v>
      </c>
      <c r="F411" t="s">
        <v>796</v>
      </c>
      <c r="G411" s="45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8">
        <v>450</v>
      </c>
      <c r="R411">
        <v>6800</v>
      </c>
      <c r="S411">
        <v>80</v>
      </c>
      <c r="T411" s="25">
        <v>1200</v>
      </c>
      <c r="U411" s="24">
        <f>IFERROR(PROPERTIES[[#This Row],[TE_STARTING_KN]]/(PROPERTIES[[#This Row],[WEIGHT]]*9.81),0)</f>
        <v>0.27183146449201495</v>
      </c>
      <c r="V411" s="24">
        <v>0</v>
      </c>
      <c r="W411" s="21">
        <f>ROUND(IF(IFERROR(PROPERTIES[[#This Row],[TE_COEFFICIENT_CALC]],0)=0,PROPERTIES[[#This Row],[TE_COEFFICIENT_MANUAL]],PROPERTIES[[#This Row],[TE_COEFFICIENT_CALC]]),3)</f>
        <v>0.27200000000000002</v>
      </c>
      <c r="X411" s="9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1">
        <v>0</v>
      </c>
      <c r="Z411" s="7">
        <v>0</v>
      </c>
      <c r="AA411" t="s">
        <v>244</v>
      </c>
      <c r="AB411" t="s">
        <v>238</v>
      </c>
      <c r="AC411" t="s">
        <v>238</v>
      </c>
      <c r="AD411" s="2" t="s">
        <v>238</v>
      </c>
      <c r="AE411" s="2" t="s">
        <v>253</v>
      </c>
      <c r="AF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1" s="2" t="str">
        <f>SUBSTITUTE(SUBSTITUTE(PROPERTIES[[#This Row],[PURCHASECOST_VALUE]], "PURCHASECOST_", ""), "_VALUE", "")</f>
        <v>ELECTRICENGINE</v>
      </c>
      <c r="AI411" s="7" t="str" cm="1">
        <f t="array" ref="AI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1" s="43" t="b">
        <v>0</v>
      </c>
      <c r="AK411" s="8" t="b">
        <v>0</v>
      </c>
      <c r="BB411"/>
      <c r="BC411"/>
      <c r="BD411"/>
    </row>
    <row r="412" spans="1:56">
      <c r="A412" s="2" t="s">
        <v>3126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5" t="str">
        <f>_xlfn.XLOOKUP(PROPERTIES[[#This Row],[VEHIDCODE]],CONTROL[VEHIDCODE],CONTROL[ENGLISH])</f>
        <v>GE W-1</v>
      </c>
      <c r="F412" t="s">
        <v>796</v>
      </c>
      <c r="G412" s="45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8">
        <v>330</v>
      </c>
      <c r="R412">
        <v>5000</v>
      </c>
      <c r="S412">
        <v>105</v>
      </c>
      <c r="T412" s="25">
        <v>530</v>
      </c>
      <c r="U412" s="24">
        <f>IFERROR(PROPERTIES[[#This Row],[TE_STARTING_KN]]/(PROPERTIES[[#This Row],[WEIGHT]]*9.81),0)</f>
        <v>0.16371667747814536</v>
      </c>
      <c r="V412" s="24">
        <v>0</v>
      </c>
      <c r="W412" s="21">
        <f>ROUND(IF(IFERROR(PROPERTIES[[#This Row],[TE_COEFFICIENT_CALC]],0)=0,PROPERTIES[[#This Row],[TE_COEFFICIENT_MANUAL]],PROPERTIES[[#This Row],[TE_COEFFICIENT_CALC]]),3)</f>
        <v>0.16400000000000001</v>
      </c>
      <c r="X412" s="9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1">
        <v>0</v>
      </c>
      <c r="Z412" s="7">
        <v>4</v>
      </c>
      <c r="AA412" t="s">
        <v>244</v>
      </c>
      <c r="AB412" t="s">
        <v>238</v>
      </c>
      <c r="AC412" t="s">
        <v>238</v>
      </c>
      <c r="AD412" s="2" t="s">
        <v>238</v>
      </c>
      <c r="AE412" s="2" t="s">
        <v>253</v>
      </c>
      <c r="AF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2" s="2" t="str">
        <f>SUBSTITUTE(SUBSTITUTE(PROPERTIES[[#This Row],[PURCHASECOST_VALUE]], "PURCHASECOST_", ""), "_VALUE", "")</f>
        <v>ELECTRICENGINE</v>
      </c>
      <c r="AI412" s="7" t="str" cm="1">
        <f t="array" ref="AI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2" s="43" t="b">
        <v>0</v>
      </c>
      <c r="AK412" s="8" t="b">
        <v>0</v>
      </c>
      <c r="BB412"/>
      <c r="BC412"/>
      <c r="BD412"/>
    </row>
    <row r="413" spans="1:56">
      <c r="A413" s="2" t="s">
        <v>3127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5" t="str">
        <f>_xlfn.XLOOKUP(PROPERTIES[[#This Row],[VEHIDCODE]],CONTROL[VEHIDCODE],CONTROL[ENGLISH])</f>
        <v>Westinghouse 6wOE B1</v>
      </c>
      <c r="F413" t="s">
        <v>796</v>
      </c>
      <c r="G413" s="45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8">
        <v>71</v>
      </c>
      <c r="R413">
        <v>700</v>
      </c>
      <c r="S413">
        <v>40</v>
      </c>
      <c r="T413" s="25">
        <v>174.6</v>
      </c>
      <c r="U413" s="24">
        <f>IFERROR(PROPERTIES[[#This Row],[TE_STARTING_KN]]/(PROPERTIES[[#This Row],[WEIGHT]]*9.81),0)</f>
        <v>0.25067838221992506</v>
      </c>
      <c r="V413" s="24">
        <v>0</v>
      </c>
      <c r="W413" s="21">
        <f>ROUND(IF(IFERROR(PROPERTIES[[#This Row],[TE_COEFFICIENT_CALC]],0)=0,PROPERTIES[[#This Row],[TE_COEFFICIENT_MANUAL]],PROPERTIES[[#This Row],[TE_COEFFICIENT_CALC]]),3)</f>
        <v>0.251</v>
      </c>
      <c r="X413" s="9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1">
        <v>0</v>
      </c>
      <c r="Z413" s="7">
        <v>0</v>
      </c>
      <c r="AA413" t="s">
        <v>244</v>
      </c>
      <c r="AB413" t="s">
        <v>238</v>
      </c>
      <c r="AC413" t="s">
        <v>238</v>
      </c>
      <c r="AD413" s="2" t="s">
        <v>238</v>
      </c>
      <c r="AE413" s="2" t="s">
        <v>253</v>
      </c>
      <c r="AF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3" s="2" t="str">
        <f>SUBSTITUTE(SUBSTITUTE(PROPERTIES[[#This Row],[PURCHASECOST_VALUE]], "PURCHASECOST_", ""), "_VALUE", "")</f>
        <v>ELECTRICENGINE</v>
      </c>
      <c r="AI413" s="7" t="str" cm="1">
        <f t="array" ref="AI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413" s="43" t="b">
        <v>0</v>
      </c>
      <c r="AK413" s="8" t="b">
        <v>0</v>
      </c>
      <c r="BB413"/>
      <c r="BC413"/>
      <c r="BD413"/>
    </row>
    <row r="414" spans="1:56">
      <c r="A414" s="2" t="s">
        <v>3128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5" t="str">
        <f>_xlfn.XLOOKUP(PROPERTIES[[#This Row],[VEHIDCODE]],CONTROL[VEHIDCODE],CONTROL[ENGLISH])</f>
        <v>Siemens E40 AG-V1</v>
      </c>
      <c r="F414" t="s">
        <v>580</v>
      </c>
      <c r="G414" s="45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8">
        <v>109</v>
      </c>
      <c r="R414">
        <v>5360</v>
      </c>
      <c r="S414">
        <v>80</v>
      </c>
      <c r="T414" s="25">
        <v>450</v>
      </c>
      <c r="U414" s="24">
        <f>IFERROR(PROPERTIES[[#This Row],[TE_STARTING_KN]]/(PROPERTIES[[#This Row],[WEIGHT]]*9.81),0)</f>
        <v>0.42083999663328003</v>
      </c>
      <c r="V414" s="24">
        <v>0</v>
      </c>
      <c r="W414" s="21">
        <f>ROUND(IF(IFERROR(PROPERTIES[[#This Row],[TE_COEFFICIENT_CALC]],0)=0,PROPERTIES[[#This Row],[TE_COEFFICIENT_MANUAL]],PROPERTIES[[#This Row],[TE_COEFFICIENT_CALC]]),3)</f>
        <v>0.42099999999999999</v>
      </c>
      <c r="X414" s="9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1">
        <v>0</v>
      </c>
      <c r="Z414" s="7">
        <v>0</v>
      </c>
      <c r="AA414" t="s">
        <v>241</v>
      </c>
      <c r="AB414" t="s">
        <v>238</v>
      </c>
      <c r="AC414" t="s">
        <v>238</v>
      </c>
      <c r="AD414" s="2" t="s">
        <v>238</v>
      </c>
      <c r="AE414" s="2" t="s">
        <v>253</v>
      </c>
      <c r="AF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4" s="2" t="str">
        <f>SUBSTITUTE(SUBSTITUTE(PROPERTIES[[#This Row],[PURCHASECOST_VALUE]], "PURCHASECOST_", ""), "_VALUE", "")</f>
        <v>ELECTRICENGINE</v>
      </c>
      <c r="AI414" s="7" t="str" cm="1">
        <f t="array" ref="AI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4" s="43" t="b">
        <v>0</v>
      </c>
      <c r="AK414" s="8" t="b">
        <v>0</v>
      </c>
      <c r="BB414"/>
      <c r="BC414"/>
      <c r="BD414"/>
    </row>
    <row r="415" spans="1:56">
      <c r="A415" s="2" t="s">
        <v>3129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5" t="str">
        <f>_xlfn.XLOOKUP(PROPERTIES[[#This Row],[VEHIDCODE]],CONTROL[VEHIDCODE],CONTROL[ENGLISH])</f>
        <v>Zuzhou SS6</v>
      </c>
      <c r="F415" t="s">
        <v>614</v>
      </c>
      <c r="G415" s="45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8">
        <v>138</v>
      </c>
      <c r="R415">
        <v>6400</v>
      </c>
      <c r="S415">
        <v>100</v>
      </c>
      <c r="T415" s="25">
        <v>485</v>
      </c>
      <c r="U415" s="24">
        <f>IFERROR(PROPERTIES[[#This Row],[TE_STARTING_KN]]/(PROPERTIES[[#This Row],[WEIGHT]]*9.81),0)</f>
        <v>0.35825614206148709</v>
      </c>
      <c r="V415" s="24">
        <v>0</v>
      </c>
      <c r="W415" s="21">
        <f>ROUND(IF(IFERROR(PROPERTIES[[#This Row],[TE_COEFFICIENT_CALC]],0)=0,PROPERTIES[[#This Row],[TE_COEFFICIENT_MANUAL]],PROPERTIES[[#This Row],[TE_COEFFICIENT_CALC]]),3)</f>
        <v>0.35799999999999998</v>
      </c>
      <c r="X415" s="9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1">
        <v>0</v>
      </c>
      <c r="Z415" s="7">
        <v>0</v>
      </c>
      <c r="AA415" t="s">
        <v>247</v>
      </c>
      <c r="AB415" t="s">
        <v>238</v>
      </c>
      <c r="AC415" t="s">
        <v>238</v>
      </c>
      <c r="AD415" s="2" t="s">
        <v>238</v>
      </c>
      <c r="AE415" s="2" t="s">
        <v>253</v>
      </c>
      <c r="AF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5" s="2" t="str">
        <f>SUBSTITUTE(SUBSTITUTE(PROPERTIES[[#This Row],[PURCHASECOST_VALUE]], "PURCHASECOST_", ""), "_VALUE", "")</f>
        <v>ELECTRICENGINE</v>
      </c>
      <c r="AI415" s="7" t="str" cm="1">
        <f t="array" ref="AI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5" s="43" t="b">
        <v>0</v>
      </c>
      <c r="AK415" s="8" t="b">
        <v>0</v>
      </c>
      <c r="BB415"/>
      <c r="BC415"/>
      <c r="BD415"/>
    </row>
    <row r="416" spans="1:56">
      <c r="A416" s="2" t="s">
        <v>3130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5" t="str">
        <f>_xlfn.XLOOKUP(PROPERTIES[[#This Row],[VEHIDCODE]],CONTROL[VEHIDCODE],CONTROL[ENGLISH])</f>
        <v>Zuzhou SS3</v>
      </c>
      <c r="F416" t="s">
        <v>614</v>
      </c>
      <c r="G416" s="45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8">
        <v>138</v>
      </c>
      <c r="R416">
        <v>5793</v>
      </c>
      <c r="S416">
        <v>100</v>
      </c>
      <c r="T416" s="25">
        <v>470</v>
      </c>
      <c r="U416" s="24">
        <f>IFERROR(PROPERTIES[[#This Row],[TE_STARTING_KN]]/(PROPERTIES[[#This Row],[WEIGHT]]*9.81),0)</f>
        <v>0.34717605519360606</v>
      </c>
      <c r="V416" s="24">
        <v>0</v>
      </c>
      <c r="W416" s="21">
        <f>ROUND(IF(IFERROR(PROPERTIES[[#This Row],[TE_COEFFICIENT_CALC]],0)=0,PROPERTIES[[#This Row],[TE_COEFFICIENT_MANUAL]],PROPERTIES[[#This Row],[TE_COEFFICIENT_CALC]]),3)</f>
        <v>0.34699999999999998</v>
      </c>
      <c r="X416" s="9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1">
        <v>0</v>
      </c>
      <c r="Z416" s="7">
        <v>0</v>
      </c>
      <c r="AA416" t="s">
        <v>247</v>
      </c>
      <c r="AB416" t="s">
        <v>238</v>
      </c>
      <c r="AC416" t="s">
        <v>238</v>
      </c>
      <c r="AD416" s="2" t="s">
        <v>238</v>
      </c>
      <c r="AE416" s="2" t="s">
        <v>253</v>
      </c>
      <c r="AF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6" s="2" t="str">
        <f>SUBSTITUTE(SUBSTITUTE(PROPERTIES[[#This Row],[PURCHASECOST_VALUE]], "PURCHASECOST_", ""), "_VALUE", "")</f>
        <v>ELECTRICENGINE</v>
      </c>
      <c r="AI416" s="7" t="str" cm="1">
        <f t="array" ref="AI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6" s="43" t="b">
        <v>0</v>
      </c>
      <c r="AK416" s="8" t="b">
        <v>0</v>
      </c>
      <c r="BB416"/>
      <c r="BC416"/>
      <c r="BD416"/>
    </row>
    <row r="417" spans="1:56">
      <c r="A417" s="2" t="s">
        <v>3131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5" t="str">
        <f>_xlfn.XLOOKUP(PROPERTIES[[#This Row],[VEHIDCODE]],CONTROL[VEHIDCODE],CONTROL[ENGLISH])</f>
        <v>Toshiba/CNR Dalian HXD3</v>
      </c>
      <c r="F417" t="s">
        <v>614</v>
      </c>
      <c r="G417" s="45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8">
        <v>150</v>
      </c>
      <c r="R417">
        <v>9700</v>
      </c>
      <c r="S417">
        <v>120</v>
      </c>
      <c r="T417" s="25">
        <v>520</v>
      </c>
      <c r="U417" s="24">
        <f>IFERROR(PROPERTIES[[#This Row],[TE_STARTING_KN]]/(PROPERTIES[[#This Row],[WEIGHT]]*9.81),0)</f>
        <v>0.35338090383961945</v>
      </c>
      <c r="V417" s="24">
        <v>0</v>
      </c>
      <c r="W417" s="21">
        <f>ROUND(IF(IFERROR(PROPERTIES[[#This Row],[TE_COEFFICIENT_CALC]],0)=0,PROPERTIES[[#This Row],[TE_COEFFICIENT_MANUAL]],PROPERTIES[[#This Row],[TE_COEFFICIENT_CALC]]),3)</f>
        <v>0.35299999999999998</v>
      </c>
      <c r="X417" s="9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1">
        <v>0</v>
      </c>
      <c r="Z417" s="7">
        <v>0</v>
      </c>
      <c r="AA417" t="s">
        <v>247</v>
      </c>
      <c r="AB417" t="s">
        <v>238</v>
      </c>
      <c r="AC417" t="s">
        <v>238</v>
      </c>
      <c r="AD417" s="2" t="s">
        <v>238</v>
      </c>
      <c r="AE417" s="2" t="s">
        <v>253</v>
      </c>
      <c r="AF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7" s="2" t="str">
        <f>SUBSTITUTE(SUBSTITUTE(PROPERTIES[[#This Row],[PURCHASECOST_VALUE]], "PURCHASECOST_", ""), "_VALUE", "")</f>
        <v>ELECTRICENGINE</v>
      </c>
      <c r="AI417" s="7" t="str" cm="1">
        <f t="array" ref="AI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7" s="43" t="b">
        <v>0</v>
      </c>
      <c r="AK417" s="8" t="b">
        <v>0</v>
      </c>
      <c r="BB417"/>
      <c r="BC417"/>
      <c r="BD417"/>
    </row>
    <row r="418" spans="1:56">
      <c r="A418" s="2" t="s">
        <v>3132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5" t="str">
        <f>_xlfn.XLOOKUP(PROPERTIES[[#This Row],[VEHIDCODE]],CONTROL[VEHIDCODE],CONTROL[ENGLISH])</f>
        <v>Toshiba/CRRC HXD1D</v>
      </c>
      <c r="F418" t="s">
        <v>614</v>
      </c>
      <c r="G418" s="45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8">
        <v>126</v>
      </c>
      <c r="R418">
        <v>9700</v>
      </c>
      <c r="S418">
        <v>160</v>
      </c>
      <c r="T418" s="25">
        <v>420</v>
      </c>
      <c r="U418" s="24">
        <f>IFERROR(PROPERTIES[[#This Row],[TE_STARTING_KN]]/(PROPERTIES[[#This Row],[WEIGHT]]*9.81),0)</f>
        <v>0.33978933061501865</v>
      </c>
      <c r="V418" s="24">
        <v>0</v>
      </c>
      <c r="W418" s="21">
        <f>ROUND(IF(IFERROR(PROPERTIES[[#This Row],[TE_COEFFICIENT_CALC]],0)=0,PROPERTIES[[#This Row],[TE_COEFFICIENT_MANUAL]],PROPERTIES[[#This Row],[TE_COEFFICIENT_CALC]]),3)</f>
        <v>0.34</v>
      </c>
      <c r="X418" s="9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1">
        <v>0</v>
      </c>
      <c r="Z418" s="7">
        <v>0</v>
      </c>
      <c r="AA418" t="s">
        <v>247</v>
      </c>
      <c r="AB418" t="s">
        <v>238</v>
      </c>
      <c r="AC418" t="s">
        <v>238</v>
      </c>
      <c r="AD418" s="2" t="s">
        <v>238</v>
      </c>
      <c r="AE418" s="2" t="s">
        <v>253</v>
      </c>
      <c r="AF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8" s="2" t="str">
        <f>SUBSTITUTE(SUBSTITUTE(PROPERTIES[[#This Row],[PURCHASECOST_VALUE]], "PURCHASECOST_", ""), "_VALUE", "")</f>
        <v>ELECTRICENGINE</v>
      </c>
      <c r="AI418" s="7" t="str" cm="1">
        <f t="array" ref="AI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18" s="43" t="b">
        <v>0</v>
      </c>
      <c r="AK418" s="8" t="b">
        <v>0</v>
      </c>
      <c r="BB418"/>
      <c r="BC418"/>
      <c r="BD418"/>
    </row>
    <row r="419" spans="1:56">
      <c r="A419" s="2" t="s">
        <v>3133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5" t="str">
        <f>_xlfn.XLOOKUP(PROPERTIES[[#This Row],[VEHIDCODE]],CONTROL[VEHIDCODE],CONTROL[ENGLISH])</f>
        <v>Kawasaki 6K</v>
      </c>
      <c r="F419" t="s">
        <v>614</v>
      </c>
      <c r="G419" s="45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8">
        <v>138</v>
      </c>
      <c r="R419">
        <v>6400</v>
      </c>
      <c r="S419">
        <v>100</v>
      </c>
      <c r="T419" s="25">
        <v>485</v>
      </c>
      <c r="U419" s="24">
        <f>IFERROR(PROPERTIES[[#This Row],[TE_STARTING_KN]]/(PROPERTIES[[#This Row],[WEIGHT]]*9.81),0)</f>
        <v>0.35825614206148709</v>
      </c>
      <c r="V419" s="24">
        <v>0</v>
      </c>
      <c r="W419" s="21">
        <f>ROUND(IF(IFERROR(PROPERTIES[[#This Row],[TE_COEFFICIENT_CALC]],0)=0,PROPERTIES[[#This Row],[TE_COEFFICIENT_MANUAL]],PROPERTIES[[#This Row],[TE_COEFFICIENT_CALC]]),3)</f>
        <v>0.35799999999999998</v>
      </c>
      <c r="X419" s="9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1">
        <v>0</v>
      </c>
      <c r="Z419" s="7">
        <v>0</v>
      </c>
      <c r="AA419" t="s">
        <v>247</v>
      </c>
      <c r="AB419" t="s">
        <v>238</v>
      </c>
      <c r="AC419" t="s">
        <v>238</v>
      </c>
      <c r="AD419" s="2" t="s">
        <v>238</v>
      </c>
      <c r="AE419" s="2" t="s">
        <v>253</v>
      </c>
      <c r="AF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9" s="2" t="str">
        <f>SUBSTITUTE(SUBSTITUTE(PROPERTIES[[#This Row],[PURCHASECOST_VALUE]], "PURCHASECOST_", ""), "_VALUE", "")</f>
        <v>ELECTRICENGINE</v>
      </c>
      <c r="AI419" s="7" t="str" cm="1">
        <f t="array" ref="AI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9" s="43" t="b">
        <v>0</v>
      </c>
      <c r="AK419" s="8" t="b">
        <v>0</v>
      </c>
      <c r="BB419"/>
      <c r="BC419"/>
      <c r="BD419"/>
    </row>
    <row r="420" spans="1:56">
      <c r="A420" s="2" t="s">
        <v>3134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5" t="str">
        <f>_xlfn.XLOOKUP(PROPERTIES[[#This Row],[VEHIDCODE]],CONTROL[VEHIDCODE],CONTROL[ENGLISH])</f>
        <v>GE E44</v>
      </c>
      <c r="F420" t="s">
        <v>796</v>
      </c>
      <c r="G420" s="45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8">
        <v>175</v>
      </c>
      <c r="R420">
        <v>4400</v>
      </c>
      <c r="S420">
        <v>113</v>
      </c>
      <c r="T420" s="25">
        <v>427.7</v>
      </c>
      <c r="U420" s="24">
        <f>IFERROR(PROPERTIES[[#This Row],[TE_STARTING_KN]]/(PROPERTIES[[#This Row],[WEIGHT]]*9.81),0)</f>
        <v>0.24913353720693168</v>
      </c>
      <c r="V420" s="24">
        <v>0</v>
      </c>
      <c r="W420" s="21">
        <f>ROUND(IF(IFERROR(PROPERTIES[[#This Row],[TE_COEFFICIENT_CALC]],0)=0,PROPERTIES[[#This Row],[TE_COEFFICIENT_MANUAL]],PROPERTIES[[#This Row],[TE_COEFFICIENT_CALC]]),3)</f>
        <v>0.249</v>
      </c>
      <c r="X420" s="9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1">
        <v>0</v>
      </c>
      <c r="Z420" s="7">
        <v>0</v>
      </c>
      <c r="AA420" t="s">
        <v>244</v>
      </c>
      <c r="AB420" t="s">
        <v>238</v>
      </c>
      <c r="AC420" t="s">
        <v>238</v>
      </c>
      <c r="AD420" s="2" t="s">
        <v>238</v>
      </c>
      <c r="AE420" s="2" t="s">
        <v>253</v>
      </c>
      <c r="AF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0" s="2" t="str">
        <f>SUBSTITUTE(SUBSTITUTE(PROPERTIES[[#This Row],[PURCHASECOST_VALUE]], "PURCHASECOST_", ""), "_VALUE", "")</f>
        <v>ELECTRICENGINE</v>
      </c>
      <c r="AI420" s="7" t="str" cm="1">
        <f t="array" ref="AI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20" s="43" t="b">
        <v>0</v>
      </c>
      <c r="AK420" s="8" t="b">
        <v>0</v>
      </c>
      <c r="BB420"/>
      <c r="BC420"/>
      <c r="BD420"/>
    </row>
    <row r="421" spans="1:56">
      <c r="A421" s="2" t="s">
        <v>3135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5" t="str">
        <f>_xlfn.XLOOKUP(PROPERTIES[[#This Row],[VEHIDCODE]],CONTROL[VEHIDCODE],CONTROL[ENGLISH])</f>
        <v>ASEA/Koncar Rb</v>
      </c>
      <c r="F421" t="s">
        <v>663</v>
      </c>
      <c r="G421" s="45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8">
        <v>80</v>
      </c>
      <c r="R421">
        <v>4624</v>
      </c>
      <c r="S421">
        <v>120</v>
      </c>
      <c r="T421" s="25">
        <v>275</v>
      </c>
      <c r="U421" s="24">
        <f>IFERROR(PROPERTIES[[#This Row],[TE_STARTING_KN]]/(PROPERTIES[[#This Row],[WEIGHT]]*9.81),0)</f>
        <v>0.35040774719673801</v>
      </c>
      <c r="V421" s="24">
        <v>0</v>
      </c>
      <c r="W421" s="21">
        <f>ROUND(IF(IFERROR(PROPERTIES[[#This Row],[TE_COEFFICIENT_CALC]],0)=0,PROPERTIES[[#This Row],[TE_COEFFICIENT_MANUAL]],PROPERTIES[[#This Row],[TE_COEFFICIENT_CALC]]),3)</f>
        <v>0.35</v>
      </c>
      <c r="X421" s="9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1">
        <v>0</v>
      </c>
      <c r="Z421" s="7">
        <v>0</v>
      </c>
      <c r="AA421" t="s">
        <v>245</v>
      </c>
      <c r="AB421" t="s">
        <v>238</v>
      </c>
      <c r="AC421" t="s">
        <v>238</v>
      </c>
      <c r="AD421" s="2" t="s">
        <v>238</v>
      </c>
      <c r="AE421" s="2" t="s">
        <v>253</v>
      </c>
      <c r="AF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1" s="2" t="str">
        <f>SUBSTITUTE(SUBSTITUTE(PROPERTIES[[#This Row],[PURCHASECOST_VALUE]], "PURCHASECOST_", ""), "_VALUE", "")</f>
        <v>ELECTRICENGINE</v>
      </c>
      <c r="AI421" s="7" t="str" cm="1">
        <f t="array" ref="AI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1" s="43" t="b">
        <v>0</v>
      </c>
      <c r="AK421" s="8" t="b">
        <v>0</v>
      </c>
      <c r="BB421"/>
      <c r="BC421"/>
      <c r="BD421"/>
    </row>
    <row r="422" spans="1:56">
      <c r="A422" s="2" t="s">
        <v>3136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5" t="str">
        <f>_xlfn.XLOOKUP(PROPERTIES[[#This Row],[VEHIDCODE]],CONTROL[VEHIDCODE],CONTROL[ENGLISH])</f>
        <v>Ganz-MAVAG VM14 'V43'</v>
      </c>
      <c r="F422" t="s">
        <v>665</v>
      </c>
      <c r="G422" s="45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8">
        <v>80</v>
      </c>
      <c r="R422">
        <v>3000</v>
      </c>
      <c r="S422">
        <v>120</v>
      </c>
      <c r="T422" s="25">
        <v>270</v>
      </c>
      <c r="U422" s="24">
        <f>IFERROR(PROPERTIES[[#This Row],[TE_STARTING_KN]]/(PROPERTIES[[#This Row],[WEIGHT]]*9.81),0)</f>
        <v>0.34403669724770641</v>
      </c>
      <c r="V422" s="24">
        <v>0</v>
      </c>
      <c r="W422" s="21">
        <f>ROUND(IF(IFERROR(PROPERTIES[[#This Row],[TE_COEFFICIENT_CALC]],0)=0,PROPERTIES[[#This Row],[TE_COEFFICIENT_MANUAL]],PROPERTIES[[#This Row],[TE_COEFFICIENT_CALC]]),3)</f>
        <v>0.34399999999999997</v>
      </c>
      <c r="X422" s="9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1">
        <v>0</v>
      </c>
      <c r="Z422" s="7">
        <v>0</v>
      </c>
      <c r="AA422" t="s">
        <v>245</v>
      </c>
      <c r="AB422" t="s">
        <v>238</v>
      </c>
      <c r="AC422" t="s">
        <v>238</v>
      </c>
      <c r="AD422" s="2" t="s">
        <v>238</v>
      </c>
      <c r="AE422" s="2" t="s">
        <v>253</v>
      </c>
      <c r="AF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2" s="2" t="str">
        <f>SUBSTITUTE(SUBSTITUTE(PROPERTIES[[#This Row],[PURCHASECOST_VALUE]], "PURCHASECOST_", ""), "_VALUE", "")</f>
        <v>ELECTRICENGINE</v>
      </c>
      <c r="AI422" s="7" t="str" cm="1">
        <f t="array" ref="AI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2" s="43" t="b">
        <v>0</v>
      </c>
      <c r="AK422" s="8" t="b">
        <v>0</v>
      </c>
      <c r="BB422"/>
      <c r="BC422"/>
      <c r="BD422"/>
    </row>
    <row r="423" spans="1:56">
      <c r="A423" s="2" t="s">
        <v>3137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5" t="str">
        <f>_xlfn.XLOOKUP(PROPERTIES[[#This Row],[VEHIDCODE]],CONTROL[VEHIDCODE],CONTROL[ENGLISH])</f>
        <v>Alsthom CP 2500</v>
      </c>
      <c r="F423" t="s">
        <v>749</v>
      </c>
      <c r="G423" s="45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8">
        <v>72</v>
      </c>
      <c r="R423">
        <v>2790</v>
      </c>
      <c r="S423">
        <v>120</v>
      </c>
      <c r="T423" s="25">
        <v>191</v>
      </c>
      <c r="U423" s="24">
        <f>IFERROR(PROPERTIES[[#This Row],[TE_STARTING_KN]]/(PROPERTIES[[#This Row],[WEIGHT]]*9.81),0)</f>
        <v>0.27041567561445234</v>
      </c>
      <c r="V423" s="24">
        <v>0</v>
      </c>
      <c r="W423" s="21">
        <f>ROUND(IF(IFERROR(PROPERTIES[[#This Row],[TE_COEFFICIENT_CALC]],0)=0,PROPERTIES[[#This Row],[TE_COEFFICIENT_MANUAL]],PROPERTIES[[#This Row],[TE_COEFFICIENT_CALC]]),3)</f>
        <v>0.27</v>
      </c>
      <c r="X423" s="9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1">
        <v>0</v>
      </c>
      <c r="Z423" s="7">
        <v>0</v>
      </c>
      <c r="AA423" t="s">
        <v>240</v>
      </c>
      <c r="AB423" t="s">
        <v>238</v>
      </c>
      <c r="AC423" t="s">
        <v>238</v>
      </c>
      <c r="AD423" s="2" t="s">
        <v>238</v>
      </c>
      <c r="AE423" s="2" t="s">
        <v>253</v>
      </c>
      <c r="AF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3" s="2" t="str">
        <f>SUBSTITUTE(SUBSTITUTE(PROPERTIES[[#This Row],[PURCHASECOST_VALUE]], "PURCHASECOST_", ""), "_VALUE", "")</f>
        <v>ELECTRICENGINE</v>
      </c>
      <c r="AI423" s="7" t="str" cm="1">
        <f t="array" ref="AI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3" s="43" t="b">
        <v>0</v>
      </c>
      <c r="AK423" s="8" t="b">
        <v>0</v>
      </c>
      <c r="BB423"/>
      <c r="BC423"/>
      <c r="BD423"/>
    </row>
    <row r="424" spans="1:56">
      <c r="A424" s="2" t="s">
        <v>3138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5" t="str">
        <f>_xlfn.XLOOKUP(PROPERTIES[[#This Row],[VEHIDCODE]],CONTROL[VEHIDCODE],CONTROL[ENGLISH])</f>
        <v>Alsthom CP 2600</v>
      </c>
      <c r="F424" t="s">
        <v>749</v>
      </c>
      <c r="G424" s="45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8">
        <v>78</v>
      </c>
      <c r="R424">
        <v>4020</v>
      </c>
      <c r="S424">
        <v>100</v>
      </c>
      <c r="T424" s="25">
        <v>245</v>
      </c>
      <c r="U424" s="24">
        <f>IFERROR(PROPERTIES[[#This Row],[TE_STARTING_KN]]/(PROPERTIES[[#This Row],[WEIGHT]]*9.81),0)</f>
        <v>0.32018610000261372</v>
      </c>
      <c r="V424" s="24">
        <v>0</v>
      </c>
      <c r="W424" s="21">
        <f>ROUND(IF(IFERROR(PROPERTIES[[#This Row],[TE_COEFFICIENT_CALC]],0)=0,PROPERTIES[[#This Row],[TE_COEFFICIENT_MANUAL]],PROPERTIES[[#This Row],[TE_COEFFICIENT_CALC]]),3)</f>
        <v>0.32</v>
      </c>
      <c r="X424" s="9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1">
        <v>0</v>
      </c>
      <c r="Z424" s="7">
        <v>0</v>
      </c>
      <c r="AA424" t="s">
        <v>240</v>
      </c>
      <c r="AB424" t="s">
        <v>238</v>
      </c>
      <c r="AC424" t="s">
        <v>238</v>
      </c>
      <c r="AD424" s="2" t="s">
        <v>238</v>
      </c>
      <c r="AE424" s="2" t="s">
        <v>253</v>
      </c>
      <c r="AF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4" s="2" t="str">
        <f>SUBSTITUTE(SUBSTITUTE(PROPERTIES[[#This Row],[PURCHASECOST_VALUE]], "PURCHASECOST_", ""), "_VALUE", "")</f>
        <v>ELECTRICENGINE</v>
      </c>
      <c r="AI424" s="7" t="str" cm="1">
        <f t="array" ref="AI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4" s="43" t="b">
        <v>0</v>
      </c>
      <c r="AK424" s="8" t="b">
        <v>0</v>
      </c>
      <c r="BB424"/>
      <c r="BC424"/>
      <c r="BD424"/>
    </row>
    <row r="425" spans="1:56">
      <c r="A425" s="2" t="s">
        <v>3139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5" t="str">
        <f>_xlfn.XLOOKUP(PROPERTIES[[#This Row],[VEHIDCODE]],CONTROL[VEHIDCODE],CONTROL[ENGLISH])</f>
        <v>ZELC 20E 'China Doll'</v>
      </c>
      <c r="F425" t="s">
        <v>810</v>
      </c>
      <c r="G425" s="45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8">
        <v>86</v>
      </c>
      <c r="R425">
        <v>4000</v>
      </c>
      <c r="S425">
        <v>100</v>
      </c>
      <c r="T425" s="25">
        <v>320</v>
      </c>
      <c r="U425" s="24">
        <f>IFERROR(PROPERTIES[[#This Row],[TE_STARTING_KN]]/(PROPERTIES[[#This Row],[WEIGHT]]*9.81),0)</f>
        <v>0.37929971789583478</v>
      </c>
      <c r="V425" s="24">
        <v>0</v>
      </c>
      <c r="W425" s="21">
        <f>ROUND(IF(IFERROR(PROPERTIES[[#This Row],[TE_COEFFICIENT_CALC]],0)=0,PROPERTIES[[#This Row],[TE_COEFFICIENT_MANUAL]],PROPERTIES[[#This Row],[TE_COEFFICIENT_CALC]]),3)</f>
        <v>0.379</v>
      </c>
      <c r="X425" s="9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1">
        <v>0</v>
      </c>
      <c r="Z425" s="7">
        <v>0</v>
      </c>
      <c r="AA425" t="s">
        <v>242</v>
      </c>
      <c r="AB425" t="s">
        <v>238</v>
      </c>
      <c r="AC425" t="s">
        <v>238</v>
      </c>
      <c r="AD425" s="2" t="s">
        <v>238</v>
      </c>
      <c r="AE425" s="2" t="s">
        <v>253</v>
      </c>
      <c r="AF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5" s="2" t="str">
        <f>SUBSTITUTE(SUBSTITUTE(PROPERTIES[[#This Row],[PURCHASECOST_VALUE]], "PURCHASECOST_", ""), "_VALUE", "")</f>
        <v>ELECTRICENGINE</v>
      </c>
      <c r="AI425" s="7" t="str" cm="1">
        <f t="array" ref="AI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5" s="43" t="b">
        <v>0</v>
      </c>
      <c r="AK425" s="8" t="b">
        <v>0</v>
      </c>
      <c r="BB425"/>
      <c r="BC425"/>
      <c r="BD425"/>
    </row>
    <row r="426" spans="1:56">
      <c r="A426" s="2" t="s">
        <v>3538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5" t="str">
        <f>_xlfn.XLOOKUP(PROPERTIES[[#This Row],[VEHIDCODE]],CONTROL[VEHIDCODE],CONTROL[ENGLISH])</f>
        <v>Siemens EuroSprinter ES64F4</v>
      </c>
      <c r="F426" t="s">
        <v>687</v>
      </c>
      <c r="G426" s="45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8">
        <v>80</v>
      </c>
      <c r="R426">
        <v>7000</v>
      </c>
      <c r="S426">
        <v>140</v>
      </c>
      <c r="T426" s="25">
        <v>330</v>
      </c>
      <c r="U426" s="24">
        <f>IFERROR(PROPERTIES[[#This Row],[TE_STARTING_KN]]/(PROPERTIES[[#This Row],[WEIGHT]]*9.81),0)</f>
        <v>0.42048929663608559</v>
      </c>
      <c r="V426" s="24">
        <v>0</v>
      </c>
      <c r="W426" s="21">
        <f>ROUND(IF(IFERROR(PROPERTIES[[#This Row],[TE_COEFFICIENT_CALC]],0)=0,PROPERTIES[[#This Row],[TE_COEFFICIENT_MANUAL]],PROPERTIES[[#This Row],[TE_COEFFICIENT_CALC]]),3)</f>
        <v>0.42</v>
      </c>
      <c r="X426" s="9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1">
        <v>0</v>
      </c>
      <c r="Z426" s="7">
        <v>0</v>
      </c>
      <c r="AA426" t="s">
        <v>247</v>
      </c>
      <c r="AB426" t="s">
        <v>248</v>
      </c>
      <c r="AC426" t="s">
        <v>238</v>
      </c>
      <c r="AD426" s="2" t="s">
        <v>238</v>
      </c>
      <c r="AE426" s="2" t="s">
        <v>253</v>
      </c>
      <c r="AF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6" s="2" t="str">
        <f>SUBSTITUTE(SUBSTITUTE(PROPERTIES[[#This Row],[PURCHASECOST_VALUE]], "PURCHASECOST_", ""), "_VALUE", "")</f>
        <v>ELECTRICENGINE</v>
      </c>
      <c r="AI426" s="7" t="str" cm="1">
        <f t="array" ref="AI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6" s="43" t="b">
        <v>0</v>
      </c>
      <c r="AK426" s="8" t="b">
        <v>0</v>
      </c>
      <c r="BB426"/>
      <c r="BC426"/>
      <c r="BD426"/>
    </row>
    <row r="427" spans="1:56">
      <c r="A427" s="2" t="s">
        <v>3140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5" t="str">
        <f>_xlfn.XLOOKUP(PROPERTIES[[#This Row],[VEHIDCODE]],CONTROL[VEHIDCODE],CONTROL[ENGLISH])</f>
        <v>DEVZ DS3</v>
      </c>
      <c r="F427" t="s">
        <v>793</v>
      </c>
      <c r="G427" s="45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8">
        <v>90</v>
      </c>
      <c r="R427">
        <v>6450</v>
      </c>
      <c r="S427">
        <v>160</v>
      </c>
      <c r="T427" s="25">
        <v>310</v>
      </c>
      <c r="U427" s="24">
        <f>IFERROR(PROPERTIES[[#This Row],[TE_STARTING_KN]]/(PROPERTIES[[#This Row],[WEIGHT]]*9.81),0)</f>
        <v>0.35111564163551928</v>
      </c>
      <c r="V427" s="24">
        <v>0</v>
      </c>
      <c r="W427" s="21">
        <f>ROUND(IF(IFERROR(PROPERTIES[[#This Row],[TE_COEFFICIENT_CALC]],0)=0,PROPERTIES[[#This Row],[TE_COEFFICIENT_MANUAL]],PROPERTIES[[#This Row],[TE_COEFFICIENT_CALC]]),3)</f>
        <v>0.35099999999999998</v>
      </c>
      <c r="X427" s="9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1">
        <v>0</v>
      </c>
      <c r="Z427" s="7">
        <v>0</v>
      </c>
      <c r="AA427" t="s">
        <v>245</v>
      </c>
      <c r="AB427" t="s">
        <v>238</v>
      </c>
      <c r="AC427" t="s">
        <v>238</v>
      </c>
      <c r="AD427" s="2" t="s">
        <v>238</v>
      </c>
      <c r="AE427" s="2" t="s">
        <v>253</v>
      </c>
      <c r="AF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7" s="2" t="str">
        <f>SUBSTITUTE(SUBSTITUTE(PROPERTIES[[#This Row],[PURCHASECOST_VALUE]], "PURCHASECOST_", ""), "_VALUE", "")</f>
        <v>ELECTRICENGINE</v>
      </c>
      <c r="AI427" s="7" t="str" cm="1">
        <f t="array" ref="AI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7" s="43" t="b">
        <v>0</v>
      </c>
      <c r="AK427" s="8" t="b">
        <v>0</v>
      </c>
      <c r="BB427"/>
      <c r="BC427"/>
      <c r="BD427"/>
    </row>
    <row r="428" spans="1:56">
      <c r="A428" s="2" t="s">
        <v>3141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5" t="str">
        <f>_xlfn.XLOOKUP(PROPERTIES[[#This Row],[VEHIDCODE]],CONTROL[VEHIDCODE],CONTROL[ENGLISH])</f>
        <v>Skoda 47E</v>
      </c>
      <c r="F428" t="s">
        <v>622</v>
      </c>
      <c r="G428" s="45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8">
        <v>85</v>
      </c>
      <c r="R428">
        <v>4600</v>
      </c>
      <c r="S428">
        <v>120</v>
      </c>
      <c r="T428" s="25">
        <v>210</v>
      </c>
      <c r="U428" s="24">
        <f>IFERROR(PROPERTIES[[#This Row],[TE_STARTING_KN]]/(PROPERTIES[[#This Row],[WEIGHT]]*9.81),0)</f>
        <v>0.25184385680877858</v>
      </c>
      <c r="V428" s="24">
        <v>0</v>
      </c>
      <c r="W428" s="21">
        <f>ROUND(IF(IFERROR(PROPERTIES[[#This Row],[TE_COEFFICIENT_CALC]],0)=0,PROPERTIES[[#This Row],[TE_COEFFICIENT_MANUAL]],PROPERTIES[[#This Row],[TE_COEFFICIENT_CALC]]),3)</f>
        <v>0.252</v>
      </c>
      <c r="X428" s="9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1">
        <v>0</v>
      </c>
      <c r="Z428" s="7">
        <v>0</v>
      </c>
      <c r="AA428" t="s">
        <v>245</v>
      </c>
      <c r="AB428" t="s">
        <v>238</v>
      </c>
      <c r="AC428" t="s">
        <v>238</v>
      </c>
      <c r="AD428" s="2" t="s">
        <v>238</v>
      </c>
      <c r="AE428" s="2" t="s">
        <v>253</v>
      </c>
      <c r="AF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8" s="2" t="str">
        <f>SUBSTITUTE(SUBSTITUTE(PROPERTIES[[#This Row],[PURCHASECOST_VALUE]], "PURCHASECOST_", ""), "_VALUE", "")</f>
        <v>ELECTRICENGINE</v>
      </c>
      <c r="AI428" s="7" t="str" cm="1">
        <f t="array" ref="AI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8" s="43" t="b">
        <v>0</v>
      </c>
      <c r="AK428" s="8" t="b">
        <v>0</v>
      </c>
      <c r="BB428"/>
      <c r="BC428"/>
      <c r="BD428"/>
    </row>
    <row r="429" spans="1:56">
      <c r="A429" s="2" t="s">
        <v>3142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5" t="str">
        <f>_xlfn.XLOOKUP(PROPERTIES[[#This Row],[VEHIDCODE]],CONTROL[VEHIDCODE],CONTROL[ENGLISH])</f>
        <v>Ansaldo - Breda C.F E.491</v>
      </c>
      <c r="F429" t="s">
        <v>675</v>
      </c>
      <c r="G429" s="45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8">
        <v>77</v>
      </c>
      <c r="R429">
        <v>4600</v>
      </c>
      <c r="S429">
        <v>140</v>
      </c>
      <c r="T429" s="25">
        <v>228</v>
      </c>
      <c r="U429" s="24">
        <f>IFERROR(PROPERTIES[[#This Row],[TE_STARTING_KN]]/(PROPERTIES[[#This Row],[WEIGHT]]*9.81),0)</f>
        <v>0.30183883394892569</v>
      </c>
      <c r="V429" s="24">
        <v>0</v>
      </c>
      <c r="W429" s="21">
        <f>ROUND(IF(IFERROR(PROPERTIES[[#This Row],[TE_COEFFICIENT_CALC]],0)=0,PROPERTIES[[#This Row],[TE_COEFFICIENT_MANUAL]],PROPERTIES[[#This Row],[TE_COEFFICIENT_CALC]]),3)</f>
        <v>0.30199999999999999</v>
      </c>
      <c r="X429" s="9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1">
        <v>0</v>
      </c>
      <c r="Z429" s="7">
        <v>0</v>
      </c>
      <c r="AA429" t="s">
        <v>240</v>
      </c>
      <c r="AB429" t="s">
        <v>238</v>
      </c>
      <c r="AC429" t="s">
        <v>238</v>
      </c>
      <c r="AD429" s="2" t="s">
        <v>238</v>
      </c>
      <c r="AE429" s="2" t="s">
        <v>253</v>
      </c>
      <c r="AF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9" s="2" t="str">
        <f>SUBSTITUTE(SUBSTITUTE(PROPERTIES[[#This Row],[PURCHASECOST_VALUE]], "PURCHASECOST_", ""), "_VALUE", "")</f>
        <v>ELECTRICENGINE</v>
      </c>
      <c r="AI429" s="7" t="str" cm="1">
        <f t="array" ref="AI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9" s="43" t="b">
        <v>0</v>
      </c>
      <c r="AK429" s="8" t="b">
        <v>0</v>
      </c>
      <c r="BB429"/>
      <c r="BC429"/>
      <c r="BD429"/>
    </row>
    <row r="430" spans="1:56">
      <c r="A430" s="2" t="s">
        <v>3143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5" t="str">
        <f>_xlfn.XLOOKUP(PROPERTIES[[#This Row],[VEHIDCODE]],CONTROL[VEHIDCODE],CONTROL[ENGLISH])</f>
        <v>ASEA/Electroputere LE5100</v>
      </c>
      <c r="F430" t="s">
        <v>709</v>
      </c>
      <c r="G430" s="45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8">
        <v>120</v>
      </c>
      <c r="R430">
        <v>6834</v>
      </c>
      <c r="S430">
        <v>120</v>
      </c>
      <c r="T430" s="25">
        <v>392</v>
      </c>
      <c r="U430" s="24">
        <f>IFERROR(PROPERTIES[[#This Row],[TE_STARTING_KN]]/(PROPERTIES[[#This Row],[WEIGHT]]*9.81),0)</f>
        <v>0.3329935440027183</v>
      </c>
      <c r="V430" s="24">
        <v>0</v>
      </c>
      <c r="W430" s="21">
        <f>ROUND(IF(IFERROR(PROPERTIES[[#This Row],[TE_COEFFICIENT_CALC]],0)=0,PROPERTIES[[#This Row],[TE_COEFFICIENT_MANUAL]],PROPERTIES[[#This Row],[TE_COEFFICIENT_CALC]]),3)</f>
        <v>0.33300000000000002</v>
      </c>
      <c r="X430" s="9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1">
        <v>0</v>
      </c>
      <c r="Z430" s="7">
        <v>0</v>
      </c>
      <c r="AA430" t="s">
        <v>240</v>
      </c>
      <c r="AB430" t="s">
        <v>238</v>
      </c>
      <c r="AC430" t="s">
        <v>238</v>
      </c>
      <c r="AD430" s="2" t="s">
        <v>238</v>
      </c>
      <c r="AE430" s="2" t="s">
        <v>253</v>
      </c>
      <c r="AF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0" s="2" t="str">
        <f>SUBSTITUTE(SUBSTITUTE(PROPERTIES[[#This Row],[PURCHASECOST_VALUE]], "PURCHASECOST_", ""), "_VALUE", "")</f>
        <v>ELECTRICENGINE</v>
      </c>
      <c r="AI430" s="7" t="str" cm="1">
        <f t="array" ref="AI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0" s="43" t="b">
        <v>0</v>
      </c>
      <c r="AK430" s="8" t="b">
        <v>0</v>
      </c>
      <c r="BB430"/>
      <c r="BC430"/>
      <c r="BD430"/>
    </row>
    <row r="431" spans="1:56">
      <c r="A431" s="2" t="s">
        <v>3144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5" t="str">
        <f>_xlfn.XLOOKUP(PROPERTIES[[#This Row],[VEHIDCODE]],CONTROL[VEHIDCODE],CONTROL[ENGLISH])</f>
        <v>CEF BB 1600</v>
      </c>
      <c r="F431" t="s">
        <v>702</v>
      </c>
      <c r="G431" s="45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8">
        <v>76</v>
      </c>
      <c r="R431">
        <v>986</v>
      </c>
      <c r="S431">
        <v>90</v>
      </c>
      <c r="T431" s="25">
        <v>0</v>
      </c>
      <c r="U431" s="24">
        <f>IFERROR(PROPERTIES[[#This Row],[TE_STARTING_KN]]/(PROPERTIES[[#This Row],[WEIGHT]]*9.81),0)</f>
        <v>0</v>
      </c>
      <c r="V431" s="24">
        <v>0.21</v>
      </c>
      <c r="W431" s="21">
        <f>ROUND(IF(IFERROR(PROPERTIES[[#This Row],[TE_COEFFICIENT_CALC]],0)=0,PROPERTIES[[#This Row],[TE_COEFFICIENT_MANUAL]],PROPERTIES[[#This Row],[TE_COEFFICIENT_CALC]]),3)</f>
        <v>0.21</v>
      </c>
      <c r="X431" s="9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1">
        <v>0</v>
      </c>
      <c r="Z431" s="7">
        <v>0</v>
      </c>
      <c r="AA431" t="s">
        <v>239</v>
      </c>
      <c r="AB431" t="s">
        <v>238</v>
      </c>
      <c r="AC431" t="s">
        <v>238</v>
      </c>
      <c r="AD431" s="2" t="s">
        <v>238</v>
      </c>
      <c r="AE431" s="2" t="s">
        <v>253</v>
      </c>
      <c r="AF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1" s="2" t="str">
        <f>SUBSTITUTE(SUBSTITUTE(PROPERTIES[[#This Row],[PURCHASECOST_VALUE]], "PURCHASECOST_", ""), "_VALUE", "")</f>
        <v>ELECTRICENGINE</v>
      </c>
      <c r="AI431" s="7" t="str" cm="1">
        <f t="array" ref="AI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1" s="43" t="b">
        <v>0</v>
      </c>
      <c r="AK431" s="8" t="b">
        <v>0</v>
      </c>
      <c r="BB431"/>
      <c r="BC431"/>
      <c r="BD431"/>
    </row>
    <row r="432" spans="1:56">
      <c r="A432" s="2" t="s">
        <v>3145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5" t="str">
        <f>_xlfn.XLOOKUP(PROPERTIES[[#This Row],[VEHIDCODE]],CONTROL[VEHIDCODE],CONTROL[ENGLISH])</f>
        <v>Doncaster AL5</v>
      </c>
      <c r="F432" t="s">
        <v>642</v>
      </c>
      <c r="G432" s="45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8">
        <v>81</v>
      </c>
      <c r="R432">
        <v>3200</v>
      </c>
      <c r="S432">
        <v>160</v>
      </c>
      <c r="T432" s="25">
        <v>220</v>
      </c>
      <c r="U432" s="24">
        <f>IFERROR(PROPERTIES[[#This Row],[TE_STARTING_KN]]/(PROPERTIES[[#This Row],[WEIGHT]]*9.81),0)</f>
        <v>0.27686538050112636</v>
      </c>
      <c r="V432" s="24">
        <v>0</v>
      </c>
      <c r="W432" s="21">
        <f>ROUND(IF(IFERROR(PROPERTIES[[#This Row],[TE_COEFFICIENT_CALC]],0)=0,PROPERTIES[[#This Row],[TE_COEFFICIENT_MANUAL]],PROPERTIES[[#This Row],[TE_COEFFICIENT_CALC]]),3)</f>
        <v>0.27700000000000002</v>
      </c>
      <c r="X432" s="9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1">
        <v>0</v>
      </c>
      <c r="Z432" s="7">
        <v>0</v>
      </c>
      <c r="AA432" t="s">
        <v>243</v>
      </c>
      <c r="AB432" t="s">
        <v>238</v>
      </c>
      <c r="AC432" t="s">
        <v>238</v>
      </c>
      <c r="AD432" s="2" t="s">
        <v>238</v>
      </c>
      <c r="AE432" s="2" t="s">
        <v>253</v>
      </c>
      <c r="AF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2" s="2" t="str">
        <f>SUBSTITUTE(SUBSTITUTE(PROPERTIES[[#This Row],[PURCHASECOST_VALUE]], "PURCHASECOST_", ""), "_VALUE", "")</f>
        <v>ELECTRICENGINE</v>
      </c>
      <c r="AI432" s="7" t="str" cm="1">
        <f t="array" ref="AI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2" s="43" t="b">
        <v>0</v>
      </c>
      <c r="AK432" s="8" t="b">
        <v>0</v>
      </c>
      <c r="BB432"/>
      <c r="BC432"/>
      <c r="BD432"/>
    </row>
    <row r="433" spans="1:56">
      <c r="A433" s="2" t="s">
        <v>3146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5" t="str">
        <f>_xlfn.XLOOKUP(PROPERTIES[[#This Row],[VEHIDCODE]],CONTROL[VEHIDCODE],CONTROL[ENGLISH])</f>
        <v>GE E60C-2</v>
      </c>
      <c r="F433" t="s">
        <v>722</v>
      </c>
      <c r="G433" s="45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8">
        <v>167.8</v>
      </c>
      <c r="R433">
        <v>6000</v>
      </c>
      <c r="S433">
        <v>110</v>
      </c>
      <c r="T433" s="25">
        <v>520</v>
      </c>
      <c r="U433" s="24">
        <f>IFERROR(PROPERTIES[[#This Row],[TE_STARTING_KN]]/(PROPERTIES[[#This Row],[WEIGHT]]*9.81),0)</f>
        <v>0.31589472929644163</v>
      </c>
      <c r="V433" s="24">
        <v>0</v>
      </c>
      <c r="W433" s="21">
        <f>ROUND(IF(IFERROR(PROPERTIES[[#This Row],[TE_COEFFICIENT_CALC]],0)=0,PROPERTIES[[#This Row],[TE_COEFFICIENT_MANUAL]],PROPERTIES[[#This Row],[TE_COEFFICIENT_CALC]]),3)</f>
        <v>0.316</v>
      </c>
      <c r="X433" s="9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1">
        <v>0</v>
      </c>
      <c r="Z433" s="7">
        <v>0</v>
      </c>
      <c r="AA433" t="s">
        <v>244</v>
      </c>
      <c r="AB433" t="s">
        <v>238</v>
      </c>
      <c r="AC433" t="s">
        <v>238</v>
      </c>
      <c r="AD433" s="2" t="s">
        <v>238</v>
      </c>
      <c r="AE433" s="2" t="s">
        <v>253</v>
      </c>
      <c r="AF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3" s="2" t="str">
        <f>SUBSTITUTE(SUBSTITUTE(PROPERTIES[[#This Row],[PURCHASECOST_VALUE]], "PURCHASECOST_", ""), "_VALUE", "")</f>
        <v>ELECTRICENGINE</v>
      </c>
      <c r="AI433" s="7" t="str" cm="1">
        <f t="array" ref="AI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3" s="43" t="b">
        <v>0</v>
      </c>
      <c r="AK433" s="8" t="b">
        <v>0</v>
      </c>
      <c r="BB433"/>
      <c r="BC433"/>
      <c r="BD433"/>
    </row>
    <row r="434" spans="1:56">
      <c r="A434" s="2" t="s">
        <v>3147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5" t="str">
        <f>_xlfn.XLOOKUP(PROPERTIES[[#This Row],[VEHIDCODE]],CONTROL[VEHIDCODE],CONTROL[ENGLISH])</f>
        <v>Alstom E 1400</v>
      </c>
      <c r="F434" t="s">
        <v>702</v>
      </c>
      <c r="G434" s="45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8">
        <v>91</v>
      </c>
      <c r="R434">
        <v>8600</v>
      </c>
      <c r="S434">
        <v>160</v>
      </c>
      <c r="T434" s="25">
        <v>0</v>
      </c>
      <c r="U434" s="24">
        <f>IFERROR(PROPERTIES[[#This Row],[TE_STARTING_KN]]/(PROPERTIES[[#This Row],[WEIGHT]]*9.81),0)</f>
        <v>0</v>
      </c>
      <c r="V434" s="24">
        <v>0.35</v>
      </c>
      <c r="W434" s="21">
        <f>ROUND(IF(IFERROR(PROPERTIES[[#This Row],[TE_COEFFICIENT_CALC]],0)=0,PROPERTIES[[#This Row],[TE_COEFFICIENT_MANUAL]],PROPERTIES[[#This Row],[TE_COEFFICIENT_CALC]]),3)</f>
        <v>0.35</v>
      </c>
      <c r="X434" s="9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1">
        <v>0</v>
      </c>
      <c r="Z434" s="7">
        <v>0</v>
      </c>
      <c r="AA434" t="s">
        <v>242</v>
      </c>
      <c r="AB434" t="s">
        <v>238</v>
      </c>
      <c r="AC434" t="s">
        <v>238</v>
      </c>
      <c r="AD434" s="2" t="s">
        <v>238</v>
      </c>
      <c r="AE434" s="2" t="s">
        <v>253</v>
      </c>
      <c r="AF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4" s="2" t="str">
        <f>SUBSTITUTE(SUBSTITUTE(PROPERTIES[[#This Row],[PURCHASECOST_VALUE]], "PURCHASECOST_", ""), "_VALUE", "")</f>
        <v>ELECTRICENGINE</v>
      </c>
      <c r="AI434" s="7" t="str" cm="1">
        <f t="array" ref="AI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4" s="43" t="b">
        <v>0</v>
      </c>
      <c r="AK434" s="8" t="b">
        <v>0</v>
      </c>
      <c r="BB434"/>
      <c r="BC434"/>
      <c r="BD434"/>
    </row>
    <row r="435" spans="1:56">
      <c r="A435" s="2" t="s">
        <v>3148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5" t="str">
        <f>_xlfn.XLOOKUP(PROPERTIES[[#This Row],[VEHIDCODE]],CONTROL[VEHIDCODE],CONTROL[ENGLISH])</f>
        <v>Toshiba EA</v>
      </c>
      <c r="F435" t="s">
        <v>736</v>
      </c>
      <c r="G435" s="45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8">
        <v>55</v>
      </c>
      <c r="R435">
        <v>1290</v>
      </c>
      <c r="S435">
        <v>72</v>
      </c>
      <c r="T435" s="25">
        <v>0</v>
      </c>
      <c r="U435" s="24">
        <f>IFERROR(PROPERTIES[[#This Row],[TE_STARTING_KN]]/(PROPERTIES[[#This Row],[WEIGHT]]*9.81),0)</f>
        <v>0</v>
      </c>
      <c r="V435" s="24">
        <v>0.32</v>
      </c>
      <c r="W435" s="21">
        <f>ROUND(IF(IFERROR(PROPERTIES[[#This Row],[TE_COEFFICIENT_CALC]],0)=0,PROPERTIES[[#This Row],[TE_COEFFICIENT_MANUAL]],PROPERTIES[[#This Row],[TE_COEFFICIENT_CALC]]),3)</f>
        <v>0.32</v>
      </c>
      <c r="X435" s="9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1">
        <v>0</v>
      </c>
      <c r="Z435" s="7">
        <v>0</v>
      </c>
      <c r="AA435" t="s">
        <v>241</v>
      </c>
      <c r="AB435" t="s">
        <v>238</v>
      </c>
      <c r="AC435" t="s">
        <v>238</v>
      </c>
      <c r="AD435" s="2" t="s">
        <v>238</v>
      </c>
      <c r="AE435" s="2" t="s">
        <v>253</v>
      </c>
      <c r="AF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5" s="2" t="str">
        <f>SUBSTITUTE(SUBSTITUTE(PROPERTIES[[#This Row],[PURCHASECOST_VALUE]], "PURCHASECOST_", ""), "_VALUE", "")</f>
        <v>ELECTRICENGINE</v>
      </c>
      <c r="AI435" s="7" t="str" cm="1">
        <f t="array" ref="AI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5" s="43" t="b">
        <v>0</v>
      </c>
      <c r="AK435" s="8" t="b">
        <v>0</v>
      </c>
      <c r="BB435"/>
      <c r="BC435"/>
      <c r="BD435"/>
    </row>
    <row r="436" spans="1:56">
      <c r="A436" s="2" t="s">
        <v>3149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5" t="str">
        <f>_xlfn.XLOOKUP(PROPERTIES[[#This Row],[VEHIDCODE]],CONTROL[VEHIDCODE],CONTROL[ENGLISH])</f>
        <v>ASEA-GMD GF6C</v>
      </c>
      <c r="F436" t="s">
        <v>604</v>
      </c>
      <c r="G436" s="45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8">
        <v>180</v>
      </c>
      <c r="R436">
        <v>6000</v>
      </c>
      <c r="S436">
        <v>90</v>
      </c>
      <c r="T436" s="25">
        <v>605</v>
      </c>
      <c r="U436" s="24">
        <f>IFERROR(PROPERTIES[[#This Row],[TE_STARTING_KN]]/(PROPERTIES[[#This Row],[WEIGHT]]*9.81),0)</f>
        <v>0.34262090837014381</v>
      </c>
      <c r="V436" s="24">
        <v>0</v>
      </c>
      <c r="W436" s="21">
        <f>ROUND(IF(IFERROR(PROPERTIES[[#This Row],[TE_COEFFICIENT_CALC]],0)=0,PROPERTIES[[#This Row],[TE_COEFFICIENT_MANUAL]],PROPERTIES[[#This Row],[TE_COEFFICIENT_CALC]]),3)</f>
        <v>0.34300000000000003</v>
      </c>
      <c r="X436" s="9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1">
        <v>0</v>
      </c>
      <c r="Z436" s="7">
        <v>0</v>
      </c>
      <c r="AA436" t="s">
        <v>244</v>
      </c>
      <c r="AB436" t="s">
        <v>238</v>
      </c>
      <c r="AC436" t="s">
        <v>238</v>
      </c>
      <c r="AD436" s="2" t="s">
        <v>238</v>
      </c>
      <c r="AE436" s="2" t="s">
        <v>253</v>
      </c>
      <c r="AF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6" s="2" t="str">
        <f>SUBSTITUTE(SUBSTITUTE(PROPERTIES[[#This Row],[PURCHASECOST_VALUE]], "PURCHASECOST_", ""), "_VALUE", "")</f>
        <v>ELECTRICENGINE</v>
      </c>
      <c r="AI436" s="7" t="str" cm="1">
        <f t="array" ref="AI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6" s="43" t="b">
        <v>0</v>
      </c>
      <c r="AK436" s="8" t="b">
        <v>0</v>
      </c>
      <c r="BB436"/>
      <c r="BC436"/>
      <c r="BD436"/>
    </row>
    <row r="437" spans="1:56">
      <c r="A437" s="2" t="s">
        <v>3150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5" t="str">
        <f>_xlfn.XLOOKUP(PROPERTIES[[#This Row],[VEHIDCODE]],CONTROL[VEHIDCODE],CONTROL[ENGLISH])</f>
        <v>Alsthom BB 22200</v>
      </c>
      <c r="F437" t="s">
        <v>641</v>
      </c>
      <c r="G437" s="45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8">
        <v>90</v>
      </c>
      <c r="R437">
        <v>5850</v>
      </c>
      <c r="S437">
        <v>160</v>
      </c>
      <c r="T437" s="25">
        <v>294</v>
      </c>
      <c r="U437" s="24">
        <f>IFERROR(PROPERTIES[[#This Row],[TE_STARTING_KN]]/(PROPERTIES[[#This Row],[WEIGHT]]*9.81),0)</f>
        <v>0.3329935440027183</v>
      </c>
      <c r="V437" s="24">
        <v>0</v>
      </c>
      <c r="W437" s="21">
        <f>ROUND(IF(IFERROR(PROPERTIES[[#This Row],[TE_COEFFICIENT_CALC]],0)=0,PROPERTIES[[#This Row],[TE_COEFFICIENT_MANUAL]],PROPERTIES[[#This Row],[TE_COEFFICIENT_CALC]]),3)</f>
        <v>0.33300000000000002</v>
      </c>
      <c r="X437" s="9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1">
        <v>0</v>
      </c>
      <c r="Z437" s="7">
        <v>0</v>
      </c>
      <c r="AA437" t="s">
        <v>239</v>
      </c>
      <c r="AB437" t="s">
        <v>238</v>
      </c>
      <c r="AC437" t="s">
        <v>238</v>
      </c>
      <c r="AD437" s="2" t="s">
        <v>238</v>
      </c>
      <c r="AE437" s="2" t="s">
        <v>253</v>
      </c>
      <c r="AF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7" s="2" t="str">
        <f>SUBSTITUTE(SUBSTITUTE(PROPERTIES[[#This Row],[PURCHASECOST_VALUE]], "PURCHASECOST_", ""), "_VALUE", "")</f>
        <v>ELECTRICENGINE</v>
      </c>
      <c r="AI437" s="7" t="str" cm="1">
        <f t="array" ref="AI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7" s="43" t="b">
        <v>0</v>
      </c>
      <c r="AK437" s="8" t="b">
        <v>0</v>
      </c>
      <c r="BB437"/>
      <c r="BC437"/>
      <c r="BD437"/>
    </row>
    <row r="438" spans="1:56">
      <c r="A438" s="2" t="s">
        <v>3151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5" t="str">
        <f>_xlfn.XLOOKUP(PROPERTIES[[#This Row],[VEHIDCODE]],CONTROL[VEHIDCODE],CONTROL[ENGLISH])</f>
        <v>GEC-Alsthom BB 26000</v>
      </c>
      <c r="F438" t="s">
        <v>641</v>
      </c>
      <c r="G438" s="45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8">
        <v>90</v>
      </c>
      <c r="R438">
        <v>7504</v>
      </c>
      <c r="S438">
        <v>200</v>
      </c>
      <c r="T438" s="25">
        <v>320</v>
      </c>
      <c r="U438" s="24">
        <f>IFERROR(PROPERTIES[[#This Row],[TE_STARTING_KN]]/(PROPERTIES[[#This Row],[WEIGHT]]*9.81),0)</f>
        <v>0.36244195265601992</v>
      </c>
      <c r="V438" s="24">
        <v>0</v>
      </c>
      <c r="W438" s="21">
        <f>ROUND(IF(IFERROR(PROPERTIES[[#This Row],[TE_COEFFICIENT_CALC]],0)=0,PROPERTIES[[#This Row],[TE_COEFFICIENT_MANUAL]],PROPERTIES[[#This Row],[TE_COEFFICIENT_CALC]]),3)</f>
        <v>0.36199999999999999</v>
      </c>
      <c r="X438" s="9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1">
        <v>0</v>
      </c>
      <c r="Z438" s="7">
        <v>0</v>
      </c>
      <c r="AA438" t="s">
        <v>239</v>
      </c>
      <c r="AB438" t="s">
        <v>238</v>
      </c>
      <c r="AC438" t="s">
        <v>238</v>
      </c>
      <c r="AD438" s="2" t="s">
        <v>238</v>
      </c>
      <c r="AE438" s="2" t="s">
        <v>253</v>
      </c>
      <c r="AF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8" s="2" t="str">
        <f>SUBSTITUTE(SUBSTITUTE(PROPERTIES[[#This Row],[PURCHASECOST_VALUE]], "PURCHASECOST_", ""), "_VALUE", "")</f>
        <v>ELECTRICENGINE</v>
      </c>
      <c r="AI438" s="7" t="str" cm="1">
        <f t="array" ref="AI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8" s="43" t="b">
        <v>0</v>
      </c>
      <c r="AK438" s="8" t="b">
        <v>0</v>
      </c>
      <c r="BB438"/>
      <c r="BC438"/>
      <c r="BD438"/>
    </row>
    <row r="439" spans="1:56">
      <c r="A439" s="2" t="s">
        <v>3152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5" t="str">
        <f>_xlfn.XLOOKUP(PROPERTIES[[#This Row],[VEHIDCODE]],CONTROL[VEHIDCODE],CONTROL[ENGLISH])</f>
        <v>Alsthom BB 25500</v>
      </c>
      <c r="F439" t="s">
        <v>641</v>
      </c>
      <c r="G439" s="45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8">
        <v>79</v>
      </c>
      <c r="R439">
        <v>3940</v>
      </c>
      <c r="S439">
        <v>100</v>
      </c>
      <c r="T439" s="25">
        <v>330</v>
      </c>
      <c r="U439" s="24">
        <f>IFERROR(PROPERTIES[[#This Row],[TE_STARTING_KN]]/(PROPERTIES[[#This Row],[WEIGHT]]*9.81),0)</f>
        <v>0.42581194596059302</v>
      </c>
      <c r="V439" s="24">
        <v>0</v>
      </c>
      <c r="W439" s="21">
        <f>ROUND(IF(IFERROR(PROPERTIES[[#This Row],[TE_COEFFICIENT_CALC]],0)=0,PROPERTIES[[#This Row],[TE_COEFFICIENT_MANUAL]],PROPERTIES[[#This Row],[TE_COEFFICIENT_CALC]]),3)</f>
        <v>0.42599999999999999</v>
      </c>
      <c r="X439" s="9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1">
        <v>0</v>
      </c>
      <c r="Z439" s="7">
        <v>0</v>
      </c>
      <c r="AA439" t="s">
        <v>239</v>
      </c>
      <c r="AB439" t="s">
        <v>238</v>
      </c>
      <c r="AC439" t="s">
        <v>238</v>
      </c>
      <c r="AD439" s="2" t="s">
        <v>238</v>
      </c>
      <c r="AE439" s="2" t="s">
        <v>253</v>
      </c>
      <c r="AF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9" s="2" t="str">
        <f>SUBSTITUTE(SUBSTITUTE(PROPERTIES[[#This Row],[PURCHASECOST_VALUE]], "PURCHASECOST_", ""), "_VALUE", "")</f>
        <v>ELECTRICENGINE</v>
      </c>
      <c r="AI439" s="7" t="str" cm="1">
        <f t="array" ref="AI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9" s="43" t="b">
        <v>0</v>
      </c>
      <c r="AK439" s="8" t="b">
        <v>0</v>
      </c>
      <c r="BB439"/>
      <c r="BC439"/>
      <c r="BD439"/>
    </row>
    <row r="440" spans="1:56">
      <c r="A440" s="2" t="s">
        <v>3153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5" t="str">
        <f>_xlfn.XLOOKUP(PROPERTIES[[#This Row],[VEHIDCODE]],CONTROL[VEHIDCODE],CONTROL[ENGLISH])</f>
        <v>Siemens EuroSprinter ES64U4</v>
      </c>
      <c r="F440" t="s">
        <v>623</v>
      </c>
      <c r="G440" s="45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8">
        <v>86</v>
      </c>
      <c r="R440">
        <v>11266</v>
      </c>
      <c r="S440">
        <v>230</v>
      </c>
      <c r="T440" s="25">
        <v>300</v>
      </c>
      <c r="U440" s="24">
        <f>IFERROR(PROPERTIES[[#This Row],[TE_STARTING_KN]]/(PROPERTIES[[#This Row],[WEIGHT]]*9.81),0)</f>
        <v>0.3555934855273451</v>
      </c>
      <c r="V440" s="24">
        <v>0</v>
      </c>
      <c r="W440" s="21">
        <f>ROUND(IF(IFERROR(PROPERTIES[[#This Row],[TE_COEFFICIENT_CALC]],0)=0,PROPERTIES[[#This Row],[TE_COEFFICIENT_MANUAL]],PROPERTIES[[#This Row],[TE_COEFFICIENT_CALC]]),3)</f>
        <v>0.35599999999999998</v>
      </c>
      <c r="X440" s="9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1">
        <v>0</v>
      </c>
      <c r="Z440" s="7">
        <v>0</v>
      </c>
      <c r="AA440" t="s">
        <v>248</v>
      </c>
      <c r="AB440" t="s">
        <v>238</v>
      </c>
      <c r="AC440" t="s">
        <v>238</v>
      </c>
      <c r="AD440" s="2" t="s">
        <v>238</v>
      </c>
      <c r="AE440" s="2" t="s">
        <v>253</v>
      </c>
      <c r="AF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0" s="2" t="str">
        <f>SUBSTITUTE(SUBSTITUTE(PROPERTIES[[#This Row],[PURCHASECOST_VALUE]], "PURCHASECOST_", ""), "_VALUE", "")</f>
        <v>ELECTRICENGINE</v>
      </c>
      <c r="AI440" s="7" t="str" cm="1">
        <f t="array" ref="AI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0" s="43" t="b">
        <v>0</v>
      </c>
      <c r="AK440" s="8" t="b">
        <v>0</v>
      </c>
      <c r="BB440"/>
      <c r="BC440"/>
      <c r="BD440"/>
    </row>
    <row r="441" spans="1:56">
      <c r="A441" s="2" t="s">
        <v>3154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5" t="str">
        <f>_xlfn.XLOOKUP(PROPERTIES[[#This Row],[VEHIDCODE]],CONTROL[VEHIDCODE],CONTROL[ENGLISH])</f>
        <v>Toshiba EH500</v>
      </c>
      <c r="F441" t="s">
        <v>679</v>
      </c>
      <c r="G441" s="45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8">
        <v>134.19999999999999</v>
      </c>
      <c r="R441">
        <v>5400</v>
      </c>
      <c r="S441">
        <v>110</v>
      </c>
      <c r="T441" s="25">
        <v>240.76</v>
      </c>
      <c r="U441" s="24">
        <f>IFERROR(PROPERTIES[[#This Row],[TE_STARTING_KN]]/(PROPERTIES[[#This Row],[WEIGHT]]*9.81),0)</f>
        <v>0.1828785675980743</v>
      </c>
      <c r="V441" s="24">
        <v>0</v>
      </c>
      <c r="W441" s="21">
        <f>ROUND(IF(IFERROR(PROPERTIES[[#This Row],[TE_COEFFICIENT_CALC]],0)=0,PROPERTIES[[#This Row],[TE_COEFFICIENT_MANUAL]],PROPERTIES[[#This Row],[TE_COEFFICIENT_CALC]]),3)</f>
        <v>0.183</v>
      </c>
      <c r="X441" s="9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1">
        <v>0</v>
      </c>
      <c r="Z441" s="7">
        <v>6</v>
      </c>
      <c r="AA441" t="s">
        <v>247</v>
      </c>
      <c r="AB441" t="s">
        <v>238</v>
      </c>
      <c r="AC441" t="s">
        <v>238</v>
      </c>
      <c r="AD441" s="2" t="s">
        <v>238</v>
      </c>
      <c r="AE441" s="2" t="s">
        <v>253</v>
      </c>
      <c r="AF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1" s="2" t="str">
        <f>SUBSTITUTE(SUBSTITUTE(PROPERTIES[[#This Row],[PURCHASECOST_VALUE]], "PURCHASECOST_", ""), "_VALUE", "")</f>
        <v>ELECTRICENGINE</v>
      </c>
      <c r="AI441" s="7" t="str" cm="1">
        <f t="array" ref="AI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1" s="43" t="b">
        <v>0</v>
      </c>
      <c r="AK441" s="8" t="b">
        <v>0</v>
      </c>
      <c r="BB441"/>
      <c r="BC441"/>
      <c r="BD441"/>
    </row>
    <row r="442" spans="1:56">
      <c r="A442" s="2" t="s">
        <v>3155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5" t="str">
        <f>_xlfn.XLOOKUP(PROPERTIES[[#This Row],[VEHIDCODE]],CONTROL[VEHIDCODE],CONTROL[ENGLISH])</f>
        <v>ASEA-EMD AEM-7</v>
      </c>
      <c r="F442" t="s">
        <v>796</v>
      </c>
      <c r="G442" s="45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8">
        <v>92</v>
      </c>
      <c r="R442">
        <v>7000</v>
      </c>
      <c r="S442">
        <v>201</v>
      </c>
      <c r="T442" s="25">
        <v>230</v>
      </c>
      <c r="U442" s="24">
        <f>IFERROR(PROPERTIES[[#This Row],[TE_STARTING_KN]]/(PROPERTIES[[#This Row],[WEIGHT]]*9.81),0)</f>
        <v>0.254841997961264</v>
      </c>
      <c r="V442" s="24">
        <v>0</v>
      </c>
      <c r="W442" s="21">
        <f>ROUND(IF(IFERROR(PROPERTIES[[#This Row],[TE_COEFFICIENT_CALC]],0)=0,PROPERTIES[[#This Row],[TE_COEFFICIENT_MANUAL]],PROPERTIES[[#This Row],[TE_COEFFICIENT_CALC]]),3)</f>
        <v>0.255</v>
      </c>
      <c r="X442" s="9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1">
        <v>0</v>
      </c>
      <c r="Z442" s="7">
        <v>0</v>
      </c>
      <c r="AA442" t="s">
        <v>244</v>
      </c>
      <c r="AB442" t="s">
        <v>238</v>
      </c>
      <c r="AC442" t="s">
        <v>238</v>
      </c>
      <c r="AD442" s="2" t="s">
        <v>238</v>
      </c>
      <c r="AE442" s="2" t="s">
        <v>253</v>
      </c>
      <c r="AF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2" s="2" t="str">
        <f>SUBSTITUTE(SUBSTITUTE(PROPERTIES[[#This Row],[PURCHASECOST_VALUE]], "PURCHASECOST_", ""), "_VALUE", "")</f>
        <v>ELECTRICENGINE</v>
      </c>
      <c r="AI442" s="7" t="str" cm="1">
        <f t="array" ref="AI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2" s="43" t="b">
        <v>0</v>
      </c>
      <c r="AK442" s="8" t="b">
        <v>0</v>
      </c>
      <c r="BB442"/>
      <c r="BC442"/>
      <c r="BD442"/>
    </row>
    <row r="443" spans="1:56">
      <c r="A443" s="2" t="s">
        <v>3156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5" t="str">
        <f>_xlfn.XLOOKUP(PROPERTIES[[#This Row],[VEHIDCODE]],CONTROL[VEHIDCODE],CONTROL[ENGLISH])</f>
        <v>Bombardier-Alstom HHP-8</v>
      </c>
      <c r="F443" t="s">
        <v>796</v>
      </c>
      <c r="G443" s="45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8">
        <v>101</v>
      </c>
      <c r="R443">
        <v>8000</v>
      </c>
      <c r="S443">
        <v>217</v>
      </c>
      <c r="T443" s="25">
        <v>316.89999999999998</v>
      </c>
      <c r="U443" s="24">
        <f>IFERROR(PROPERTIES[[#This Row],[TE_STARTING_KN]]/(PROPERTIES[[#This Row],[WEIGHT]]*9.81),0)</f>
        <v>0.31983932338187943</v>
      </c>
      <c r="V443" s="24">
        <v>0</v>
      </c>
      <c r="W443" s="21">
        <f>ROUND(IF(IFERROR(PROPERTIES[[#This Row],[TE_COEFFICIENT_CALC]],0)=0,PROPERTIES[[#This Row],[TE_COEFFICIENT_MANUAL]],PROPERTIES[[#This Row],[TE_COEFFICIENT_CALC]]),3)</f>
        <v>0.32</v>
      </c>
      <c r="X443" s="9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1">
        <v>0</v>
      </c>
      <c r="Z443" s="7">
        <v>0</v>
      </c>
      <c r="AA443" t="s">
        <v>244</v>
      </c>
      <c r="AB443" t="s">
        <v>238</v>
      </c>
      <c r="AC443" t="s">
        <v>238</v>
      </c>
      <c r="AD443" s="2" t="s">
        <v>238</v>
      </c>
      <c r="AE443" s="2" t="s">
        <v>253</v>
      </c>
      <c r="AF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3" s="2" t="str">
        <f>SUBSTITUTE(SUBSTITUTE(PROPERTIES[[#This Row],[PURCHASECOST_VALUE]], "PURCHASECOST_", ""), "_VALUE", "")</f>
        <v>ELECTRICENGINE</v>
      </c>
      <c r="AI443" s="7" t="str" cm="1">
        <f t="array" ref="AI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3" s="43" t="b">
        <v>0</v>
      </c>
      <c r="AK443" s="8" t="b">
        <v>0</v>
      </c>
      <c r="BB443"/>
      <c r="BC443"/>
      <c r="BD443"/>
    </row>
    <row r="444" spans="1:56">
      <c r="A444" s="2" t="s">
        <v>3157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5" t="str">
        <f>_xlfn.XLOOKUP(PROPERTIES[[#This Row],[VEHIDCODE]],CONTROL[VEHIDCODE],CONTROL[ENGLISH])</f>
        <v>Skoda 109E</v>
      </c>
      <c r="F444" t="s">
        <v>622</v>
      </c>
      <c r="G444" s="45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8">
        <v>88</v>
      </c>
      <c r="R444">
        <v>8583</v>
      </c>
      <c r="S444">
        <v>200</v>
      </c>
      <c r="T444" s="25">
        <v>300</v>
      </c>
      <c r="U444" s="24">
        <f>IFERROR(PROPERTIES[[#This Row],[TE_STARTING_KN]]/(PROPERTIES[[#This Row],[WEIGHT]]*9.81),0)</f>
        <v>0.3475118154017236</v>
      </c>
      <c r="V444" s="24">
        <v>0</v>
      </c>
      <c r="W444" s="21">
        <f>ROUND(IF(IFERROR(PROPERTIES[[#This Row],[TE_COEFFICIENT_CALC]],0)=0,PROPERTIES[[#This Row],[TE_COEFFICIENT_MANUAL]],PROPERTIES[[#This Row],[TE_COEFFICIENT_CALC]]),3)</f>
        <v>0.34799999999999998</v>
      </c>
      <c r="X444" s="9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1">
        <v>0</v>
      </c>
      <c r="Z444" s="7">
        <v>0</v>
      </c>
      <c r="AA444" t="s">
        <v>245</v>
      </c>
      <c r="AB444" t="s">
        <v>238</v>
      </c>
      <c r="AC444" t="s">
        <v>238</v>
      </c>
      <c r="AD444" s="2" t="s">
        <v>238</v>
      </c>
      <c r="AE444" s="2" t="s">
        <v>253</v>
      </c>
      <c r="AF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4" s="2" t="str">
        <f>SUBSTITUTE(SUBSTITUTE(PROPERTIES[[#This Row],[PURCHASECOST_VALUE]], "PURCHASECOST_", ""), "_VALUE", "")</f>
        <v>ELECTRICENGINE</v>
      </c>
      <c r="AI444" s="7" t="str" cm="1">
        <f t="array" ref="AI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4" s="43" t="b">
        <v>0</v>
      </c>
      <c r="AK444" s="8" t="b">
        <v>0</v>
      </c>
      <c r="BB444"/>
      <c r="BC444"/>
      <c r="BD444"/>
    </row>
    <row r="445" spans="1:56">
      <c r="A445" s="2" t="s">
        <v>3158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5" t="str">
        <f>_xlfn.XLOOKUP(PROPERTIES[[#This Row],[VEHIDCODE]],CONTROL[VEHIDCODE],CONTROL[ENGLISH])</f>
        <v>CAF/Macosa 252</v>
      </c>
      <c r="F445" t="s">
        <v>634</v>
      </c>
      <c r="G445" s="45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8">
        <v>90</v>
      </c>
      <c r="R445">
        <v>7500</v>
      </c>
      <c r="S445">
        <v>200</v>
      </c>
      <c r="T445" s="25">
        <v>300</v>
      </c>
      <c r="U445" s="24">
        <f>IFERROR(PROPERTIES[[#This Row],[TE_STARTING_KN]]/(PROPERTIES[[#This Row],[WEIGHT]]*9.81),0)</f>
        <v>0.33978933061501865</v>
      </c>
      <c r="V445" s="24">
        <v>0</v>
      </c>
      <c r="W445" s="21">
        <f>ROUND(IF(IFERROR(PROPERTIES[[#This Row],[TE_COEFFICIENT_CALC]],0)=0,PROPERTIES[[#This Row],[TE_COEFFICIENT_MANUAL]],PROPERTIES[[#This Row],[TE_COEFFICIENT_CALC]]),3)</f>
        <v>0.34</v>
      </c>
      <c r="X445" s="9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1">
        <v>0</v>
      </c>
      <c r="Z445" s="7">
        <v>0</v>
      </c>
      <c r="AA445" t="s">
        <v>240</v>
      </c>
      <c r="AB445" t="s">
        <v>238</v>
      </c>
      <c r="AC445" t="s">
        <v>238</v>
      </c>
      <c r="AD445" s="2" t="s">
        <v>238</v>
      </c>
      <c r="AE445" s="2" t="s">
        <v>253</v>
      </c>
      <c r="AF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5" s="2" t="str">
        <f>SUBSTITUTE(SUBSTITUTE(PROPERTIES[[#This Row],[PURCHASECOST_VALUE]], "PURCHASECOST_", ""), "_VALUE", "")</f>
        <v>ELECTRICENGINE</v>
      </c>
      <c r="AI445" s="7" t="str" cm="1">
        <f t="array" ref="AI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5" s="43" t="b">
        <v>0</v>
      </c>
      <c r="AK445" s="8" t="b">
        <v>0</v>
      </c>
      <c r="BB445"/>
      <c r="BC445"/>
      <c r="BD445"/>
    </row>
    <row r="446" spans="1:56">
      <c r="A446" s="2" t="s">
        <v>3159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5" t="str">
        <f>_xlfn.XLOOKUP(PROPERTIES[[#This Row],[VEHIDCODE]],CONTROL[VEHIDCODE],CONTROL[ENGLISH])</f>
        <v>Bombardier Traxx F140 MS</v>
      </c>
      <c r="F446" t="s">
        <v>623</v>
      </c>
      <c r="G446" s="45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8">
        <v>84</v>
      </c>
      <c r="R446">
        <v>5600</v>
      </c>
      <c r="S446">
        <v>140</v>
      </c>
      <c r="T446" s="25">
        <v>0</v>
      </c>
      <c r="U446" s="24">
        <f>IFERROR(PROPERTIES[[#This Row],[TE_STARTING_KN]]/(PROPERTIES[[#This Row],[WEIGHT]]*9.81),0)</f>
        <v>0</v>
      </c>
      <c r="V446" s="24">
        <v>0.35</v>
      </c>
      <c r="W446" s="21">
        <f>ROUND(IF(IFERROR(PROPERTIES[[#This Row],[TE_COEFFICIENT_CALC]],0)=0,PROPERTIES[[#This Row],[TE_COEFFICIENT_MANUAL]],PROPERTIES[[#This Row],[TE_COEFFICIENT_CALC]]),3)</f>
        <v>0.35</v>
      </c>
      <c r="X446" s="9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1">
        <v>0</v>
      </c>
      <c r="Z446" s="7">
        <v>0</v>
      </c>
      <c r="AA446" t="s">
        <v>248</v>
      </c>
      <c r="AB446" t="s">
        <v>238</v>
      </c>
      <c r="AC446" t="s">
        <v>238</v>
      </c>
      <c r="AD446" s="2" t="s">
        <v>238</v>
      </c>
      <c r="AE446" s="2" t="s">
        <v>253</v>
      </c>
      <c r="AF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6" s="2" t="str">
        <f>SUBSTITUTE(SUBSTITUTE(PROPERTIES[[#This Row],[PURCHASECOST_VALUE]], "PURCHASECOST_", ""), "_VALUE", "")</f>
        <v>ELECTRICENGINE</v>
      </c>
      <c r="AI446" s="7" t="str" cm="1">
        <f t="array" ref="AI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6" s="43" t="b">
        <v>0</v>
      </c>
      <c r="AK446" s="8" t="b">
        <v>0</v>
      </c>
      <c r="BB446"/>
      <c r="BC446"/>
      <c r="BD446"/>
    </row>
    <row r="447" spans="1:56">
      <c r="A447" s="2" t="s">
        <v>3160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5" t="str">
        <f>_xlfn.XLOOKUP(PROPERTIES[[#This Row],[VEHIDCODE]],CONTROL[VEHIDCODE],CONTROL[ENGLISH])</f>
        <v>TIBB E.550</v>
      </c>
      <c r="F447" t="s">
        <v>675</v>
      </c>
      <c r="G447" s="45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8">
        <v>64</v>
      </c>
      <c r="R447">
        <v>2000</v>
      </c>
      <c r="S447">
        <v>50</v>
      </c>
      <c r="T447" s="25">
        <v>100</v>
      </c>
      <c r="U447" s="24">
        <f>IFERROR(PROPERTIES[[#This Row],[TE_STARTING_KN]]/(PROPERTIES[[#This Row],[WEIGHT]]*9.81),0)</f>
        <v>0.15927624872578999</v>
      </c>
      <c r="V447" s="24">
        <v>0</v>
      </c>
      <c r="W447" s="21">
        <f>ROUND(IF(IFERROR(PROPERTIES[[#This Row],[TE_COEFFICIENT_CALC]],0)=0,PROPERTIES[[#This Row],[TE_COEFFICIENT_MANUAL]],PROPERTIES[[#This Row],[TE_COEFFICIENT_CALC]]),3)</f>
        <v>0.159</v>
      </c>
      <c r="X447" s="9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1">
        <v>0</v>
      </c>
      <c r="Z447" s="7">
        <v>0</v>
      </c>
      <c r="AA447" t="s">
        <v>240</v>
      </c>
      <c r="AB447" t="s">
        <v>238</v>
      </c>
      <c r="AC447" t="s">
        <v>238</v>
      </c>
      <c r="AD447" s="2" t="s">
        <v>238</v>
      </c>
      <c r="AE447" s="2" t="s">
        <v>253</v>
      </c>
      <c r="AF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7" s="2" t="str">
        <f>SUBSTITUTE(SUBSTITUTE(PROPERTIES[[#This Row],[PURCHASECOST_VALUE]], "PURCHASECOST_", ""), "_VALUE", "")</f>
        <v>ELECTRICENGINE</v>
      </c>
      <c r="AI447" s="7" t="str" cm="1">
        <f t="array" ref="AI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47" s="43" t="b">
        <v>0</v>
      </c>
      <c r="AK447" s="8" t="b">
        <v>0</v>
      </c>
      <c r="BB447"/>
      <c r="BC447"/>
      <c r="BD447"/>
    </row>
    <row r="448" spans="1:56">
      <c r="A448" s="2" t="s">
        <v>3161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5" t="str">
        <f>_xlfn.XLOOKUP(PROPERTIES[[#This Row],[VEHIDCODE]],CONTROL[VEHIDCODE],CONTROL[ENGLISH])</f>
        <v>Hitachi EF81</v>
      </c>
      <c r="F448" t="s">
        <v>679</v>
      </c>
      <c r="G448" s="45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8">
        <v>101</v>
      </c>
      <c r="R448">
        <v>3420</v>
      </c>
      <c r="S448">
        <v>110</v>
      </c>
      <c r="T448" s="25">
        <v>0</v>
      </c>
      <c r="U448" s="24">
        <f>IFERROR(PROPERTIES[[#This Row],[TE_STARTING_KN]]/(PROPERTIES[[#This Row],[WEIGHT]]*9.81),0)</f>
        <v>0</v>
      </c>
      <c r="V448" s="24">
        <v>0.28999999999999998</v>
      </c>
      <c r="W448" s="21">
        <f>ROUND(IF(IFERROR(PROPERTIES[[#This Row],[TE_COEFFICIENT_CALC]],0)=0,PROPERTIES[[#This Row],[TE_COEFFICIENT_MANUAL]],PROPERTIES[[#This Row],[TE_COEFFICIENT_CALC]]),3)</f>
        <v>0.28999999999999998</v>
      </c>
      <c r="X448" s="9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1">
        <v>0</v>
      </c>
      <c r="Z448" s="7">
        <v>0</v>
      </c>
      <c r="AA448" t="s">
        <v>247</v>
      </c>
      <c r="AB448" t="s">
        <v>238</v>
      </c>
      <c r="AC448" t="s">
        <v>238</v>
      </c>
      <c r="AD448" s="2" t="s">
        <v>238</v>
      </c>
      <c r="AE448" s="2" t="s">
        <v>253</v>
      </c>
      <c r="AF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8" s="2" t="str">
        <f>SUBSTITUTE(SUBSTITUTE(PROPERTIES[[#This Row],[PURCHASECOST_VALUE]], "PURCHASECOST_", ""), "_VALUE", "")</f>
        <v>ELECTRICENGINE</v>
      </c>
      <c r="AI448" s="7" t="str" cm="1">
        <f t="array" ref="AI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8" s="43" t="b">
        <v>0</v>
      </c>
      <c r="AK448" s="8" t="b">
        <v>0</v>
      </c>
      <c r="BB448"/>
      <c r="BC448"/>
      <c r="BD448"/>
    </row>
    <row r="449" spans="1:56">
      <c r="A449" s="2" t="s">
        <v>3162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5" t="str">
        <f>_xlfn.XLOOKUP(PROPERTIES[[#This Row],[VEHIDCODE]],CONTROL[VEHIDCODE],CONTROL[ENGLISH])</f>
        <v>ABB/Brush Class 92</v>
      </c>
      <c r="F449" t="s">
        <v>642</v>
      </c>
      <c r="G449" s="45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8">
        <v>126</v>
      </c>
      <c r="R449">
        <v>6760</v>
      </c>
      <c r="S449">
        <v>140</v>
      </c>
      <c r="T449" s="25">
        <v>360</v>
      </c>
      <c r="U449" s="24">
        <f>IFERROR(PROPERTIES[[#This Row],[TE_STARTING_KN]]/(PROPERTIES[[#This Row],[WEIGHT]]*9.81),0)</f>
        <v>0.29124799767001597</v>
      </c>
      <c r="V449" s="24">
        <v>0</v>
      </c>
      <c r="W449" s="21">
        <f>ROUND(IF(IFERROR(PROPERTIES[[#This Row],[TE_COEFFICIENT_CALC]],0)=0,PROPERTIES[[#This Row],[TE_COEFFICIENT_MANUAL]],PROPERTIES[[#This Row],[TE_COEFFICIENT_CALC]]),3)</f>
        <v>0.29099999999999998</v>
      </c>
      <c r="X449" s="9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1">
        <v>0</v>
      </c>
      <c r="Z449" s="7">
        <v>0</v>
      </c>
      <c r="AA449" t="s">
        <v>243</v>
      </c>
      <c r="AB449" t="s">
        <v>239</v>
      </c>
      <c r="AC449" t="s">
        <v>245</v>
      </c>
      <c r="AD449" s="2" t="s">
        <v>238</v>
      </c>
      <c r="AE449" s="2" t="s">
        <v>253</v>
      </c>
      <c r="AF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9" s="2" t="str">
        <f>SUBSTITUTE(SUBSTITUTE(PROPERTIES[[#This Row],[PURCHASECOST_VALUE]], "PURCHASECOST_", ""), "_VALUE", "")</f>
        <v>ELECTRICENGINE</v>
      </c>
      <c r="AI449" s="7" t="str" cm="1">
        <f t="array" ref="AI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9" s="43" t="b">
        <v>0</v>
      </c>
      <c r="AK449" s="8" t="b">
        <v>0</v>
      </c>
      <c r="BB449"/>
      <c r="BC449"/>
      <c r="BD449"/>
    </row>
    <row r="450" spans="1:56">
      <c r="A450" s="2" t="s">
        <v>3163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5" t="str">
        <f>_xlfn.XLOOKUP(PROPERTIES[[#This Row],[VEHIDCODE]],CONTROL[VEHIDCODE],CONTROL[ENGLISH])</f>
        <v>Siemens ACS-64</v>
      </c>
      <c r="F450" t="s">
        <v>796</v>
      </c>
      <c r="G450" s="45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8">
        <v>98</v>
      </c>
      <c r="R450">
        <v>6700</v>
      </c>
      <c r="S450">
        <v>201</v>
      </c>
      <c r="T450" s="25">
        <v>320</v>
      </c>
      <c r="U450" s="24">
        <f>IFERROR(PROPERTIES[[#This Row],[TE_STARTING_KN]]/(PROPERTIES[[#This Row],[WEIGHT]]*9.81),0)</f>
        <v>0.33285485448001834</v>
      </c>
      <c r="V450" s="24">
        <v>0</v>
      </c>
      <c r="W450" s="21">
        <f>ROUND(IF(IFERROR(PROPERTIES[[#This Row],[TE_COEFFICIENT_CALC]],0)=0,PROPERTIES[[#This Row],[TE_COEFFICIENT_MANUAL]],PROPERTIES[[#This Row],[TE_COEFFICIENT_CALC]]),3)</f>
        <v>0.33300000000000002</v>
      </c>
      <c r="X450" s="9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1">
        <v>0</v>
      </c>
      <c r="Z450" s="7">
        <v>0</v>
      </c>
      <c r="AA450" t="s">
        <v>244</v>
      </c>
      <c r="AB450" t="s">
        <v>238</v>
      </c>
      <c r="AC450" t="s">
        <v>238</v>
      </c>
      <c r="AD450" s="2" t="s">
        <v>238</v>
      </c>
      <c r="AE450" s="2" t="s">
        <v>253</v>
      </c>
      <c r="AF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0" s="2" t="str">
        <f>SUBSTITUTE(SUBSTITUTE(PROPERTIES[[#This Row],[PURCHASECOST_VALUE]], "PURCHASECOST_", ""), "_VALUE", "")</f>
        <v>ELECTRICENGINE</v>
      </c>
      <c r="AI450" s="7" t="str" cm="1">
        <f t="array" ref="AI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0" s="43" t="b">
        <v>0</v>
      </c>
      <c r="AK450" s="8" t="b">
        <v>0</v>
      </c>
      <c r="BB450"/>
      <c r="BC450"/>
      <c r="BD450"/>
    </row>
    <row r="451" spans="1:56">
      <c r="A451" s="2" t="s">
        <v>3164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5" t="str">
        <f>_xlfn.XLOOKUP(PROPERTIES[[#This Row],[VEHIDCODE]],CONTROL[VEHIDCODE],CONTROL[ENGLISH])</f>
        <v>Alsthom CC 40100</v>
      </c>
      <c r="F451" t="s">
        <v>641</v>
      </c>
      <c r="G451" s="45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8">
        <v>97</v>
      </c>
      <c r="R451">
        <v>4920</v>
      </c>
      <c r="S451">
        <v>240</v>
      </c>
      <c r="T451" s="25">
        <v>210</v>
      </c>
      <c r="U451" s="24">
        <f>IFERROR(PROPERTIES[[#This Row],[TE_STARTING_KN]]/(PROPERTIES[[#This Row],[WEIGHT]]*9.81),0)</f>
        <v>0.22068791576026986</v>
      </c>
      <c r="V451" s="24">
        <v>0</v>
      </c>
      <c r="W451" s="21">
        <f>ROUND(IF(IFERROR(PROPERTIES[[#This Row],[TE_COEFFICIENT_CALC]],0)=0,PROPERTIES[[#This Row],[TE_COEFFICIENT_MANUAL]],PROPERTIES[[#This Row],[TE_COEFFICIENT_CALC]]),3)</f>
        <v>0.221</v>
      </c>
      <c r="X451" s="9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1">
        <v>0</v>
      </c>
      <c r="Z451" s="7">
        <v>0</v>
      </c>
      <c r="AA451" t="s">
        <v>239</v>
      </c>
      <c r="AB451" t="s">
        <v>238</v>
      </c>
      <c r="AC451" t="s">
        <v>238</v>
      </c>
      <c r="AD451" s="2" t="s">
        <v>238</v>
      </c>
      <c r="AE451" s="2" t="s">
        <v>253</v>
      </c>
      <c r="AF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1" s="2" t="str">
        <f>SUBSTITUTE(SUBSTITUTE(PROPERTIES[[#This Row],[PURCHASECOST_VALUE]], "PURCHASECOST_", ""), "_VALUE", "")</f>
        <v>ELECTRICENGINE</v>
      </c>
      <c r="AI451" s="7" t="str" cm="1">
        <f t="array" ref="AI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1" s="43" t="b">
        <v>0</v>
      </c>
      <c r="AK451" s="8" t="b">
        <v>0</v>
      </c>
      <c r="BB451"/>
      <c r="BC451"/>
      <c r="BD451"/>
    </row>
    <row r="452" spans="1:56">
      <c r="A452" s="2" t="s">
        <v>3165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5" t="str">
        <f>_xlfn.XLOOKUP(PROPERTIES[[#This Row],[VEHIDCODE]],CONTROL[VEHIDCODE],CONTROL[ENGLISH])</f>
        <v>Alsthom Class 13 HLE</v>
      </c>
      <c r="F452" t="s">
        <v>587</v>
      </c>
      <c r="G452" s="45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8">
        <v>90</v>
      </c>
      <c r="R452">
        <v>6968</v>
      </c>
      <c r="S452">
        <v>200</v>
      </c>
      <c r="T452" s="25">
        <v>288</v>
      </c>
      <c r="U452" s="24">
        <f>IFERROR(PROPERTIES[[#This Row],[TE_STARTING_KN]]/(PROPERTIES[[#This Row],[WEIGHT]]*9.81),0)</f>
        <v>0.3261977573904179</v>
      </c>
      <c r="V452" s="24">
        <v>0</v>
      </c>
      <c r="W452" s="21">
        <f>ROUND(IF(IFERROR(PROPERTIES[[#This Row],[TE_COEFFICIENT_CALC]],0)=0,PROPERTIES[[#This Row],[TE_COEFFICIENT_MANUAL]],PROPERTIES[[#This Row],[TE_COEFFICIENT_CALC]]),3)</f>
        <v>0.32600000000000001</v>
      </c>
      <c r="X452" s="9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1">
        <v>0</v>
      </c>
      <c r="Z452" s="7">
        <v>0</v>
      </c>
      <c r="AA452" t="s">
        <v>239</v>
      </c>
      <c r="AB452" t="s">
        <v>238</v>
      </c>
      <c r="AC452" t="s">
        <v>238</v>
      </c>
      <c r="AD452" s="2" t="s">
        <v>238</v>
      </c>
      <c r="AE452" s="2" t="s">
        <v>253</v>
      </c>
      <c r="AF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2" s="2" t="str">
        <f>SUBSTITUTE(SUBSTITUTE(PROPERTIES[[#This Row],[PURCHASECOST_VALUE]], "PURCHASECOST_", ""), "_VALUE", "")</f>
        <v>ELECTRICENGINE</v>
      </c>
      <c r="AI452" s="7" t="str" cm="1">
        <f t="array" ref="AI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2" s="43" t="b">
        <v>0</v>
      </c>
      <c r="AK452" s="8" t="b">
        <v>0</v>
      </c>
      <c r="BB452"/>
      <c r="BC452"/>
      <c r="BD452"/>
    </row>
    <row r="453" spans="1:56">
      <c r="A453" s="2" t="s">
        <v>3166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5" t="str">
        <f>_xlfn.XLOOKUP(PROPERTIES[[#This Row],[VEHIDCODE]],CONTROL[VEHIDCODE],CONTROL[ENGLISH])</f>
        <v>LHB VT 04.0 'Flying Hamburger'</v>
      </c>
      <c r="F453" t="s">
        <v>623</v>
      </c>
      <c r="G453" s="45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8">
        <f>85/2</f>
        <v>42.5</v>
      </c>
      <c r="R453">
        <v>810</v>
      </c>
      <c r="S453">
        <v>160</v>
      </c>
      <c r="T453" s="25">
        <f>53/2</f>
        <v>26.5</v>
      </c>
      <c r="U453" s="24">
        <f>IFERROR(PROPERTIES[[#This Row],[TE_STARTING_KN]]/(PROPERTIES[[#This Row],[WEIGHT]]*9.81),0)</f>
        <v>6.3560592432691729E-2</v>
      </c>
      <c r="V453" s="24">
        <v>0</v>
      </c>
      <c r="W453" s="21">
        <f>ROUND(IF(IFERROR(PROPERTIES[[#This Row],[TE_COEFFICIENT_CALC]],0)=0,PROPERTIES[[#This Row],[TE_COEFFICIENT_MANUAL]],PROPERTIES[[#This Row],[TE_COEFFICIENT_CALC]]),3)</f>
        <v>6.4000000000000001E-2</v>
      </c>
      <c r="X453" s="9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1">
        <f>INT(139/2)</f>
        <v>69</v>
      </c>
      <c r="Z453" s="7">
        <v>8</v>
      </c>
      <c r="AA453" t="s">
        <v>239</v>
      </c>
      <c r="AB453" t="s">
        <v>238</v>
      </c>
      <c r="AC453" t="s">
        <v>238</v>
      </c>
      <c r="AD453" s="2" t="s">
        <v>238</v>
      </c>
      <c r="AE453" s="2" t="s">
        <v>253</v>
      </c>
      <c r="AF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3" s="2" t="str">
        <f>SUBSTITUTE(SUBSTITUTE(PROPERTIES[[#This Row],[PURCHASECOST_VALUE]], "PURCHASECOST_", ""), "_VALUE", "")</f>
        <v>DMU</v>
      </c>
      <c r="AI453" s="7" t="str" cm="1">
        <f t="array" ref="AI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3" s="43" t="b">
        <v>0</v>
      </c>
      <c r="AK453" s="8" t="b">
        <v>0</v>
      </c>
      <c r="BB453"/>
      <c r="BC453"/>
      <c r="BD453"/>
    </row>
    <row r="454" spans="1:56">
      <c r="A454" s="2" t="s">
        <v>3167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5" t="str">
        <f>_xlfn.XLOOKUP(PROPERTIES[[#This Row],[VEHIDCODE]],CONTROL[VEHIDCODE],CONTROL[ENGLISH])</f>
        <v>Harland &amp; Wolf 'Silver City Comet'</v>
      </c>
      <c r="F454" t="s">
        <v>580</v>
      </c>
      <c r="G454" s="45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8">
        <f>64/2</f>
        <v>32</v>
      </c>
      <c r="R454">
        <v>660</v>
      </c>
      <c r="S454">
        <v>160</v>
      </c>
      <c r="T454" s="25">
        <f>85/2</f>
        <v>42.5</v>
      </c>
      <c r="U454" s="24">
        <f>IFERROR(PROPERTIES[[#This Row],[TE_STARTING_KN]]/(PROPERTIES[[#This Row],[WEIGHT]]*9.81),0)</f>
        <v>0.13538481141692149</v>
      </c>
      <c r="V454" s="24">
        <v>0</v>
      </c>
      <c r="W454" s="21">
        <f>ROUND(IF(IFERROR(PROPERTIES[[#This Row],[TE_COEFFICIENT_CALC]],0)=0,PROPERTIES[[#This Row],[TE_COEFFICIENT_MANUAL]],PROPERTIES[[#This Row],[TE_COEFFICIENT_CALC]]),3)</f>
        <v>0.13500000000000001</v>
      </c>
      <c r="X454" s="9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1">
        <v>60</v>
      </c>
      <c r="Z454" s="7">
        <v>7</v>
      </c>
      <c r="AA454" t="s">
        <v>241</v>
      </c>
      <c r="AB454" t="s">
        <v>238</v>
      </c>
      <c r="AC454" t="s">
        <v>238</v>
      </c>
      <c r="AD454" s="2" t="s">
        <v>238</v>
      </c>
      <c r="AE454" s="2" t="s">
        <v>253</v>
      </c>
      <c r="AF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4" s="2" t="str">
        <f>SUBSTITUTE(SUBSTITUTE(PROPERTIES[[#This Row],[PURCHASECOST_VALUE]], "PURCHASECOST_", ""), "_VALUE", "")</f>
        <v>DMU</v>
      </c>
      <c r="AI454" s="7" t="str" cm="1">
        <f t="array" ref="AI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4" s="43" t="b">
        <v>0</v>
      </c>
      <c r="AK454" s="8" t="b">
        <v>0</v>
      </c>
      <c r="BB454"/>
      <c r="BC454"/>
      <c r="BD454"/>
    </row>
    <row r="455" spans="1:56">
      <c r="A455" s="2" t="s">
        <v>3168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5" t="str">
        <f>_xlfn.XLOOKUP(PROPERTIES[[#This Row],[VEHIDCODE]],CONTROL[VEHIDCODE],CONTROL[ENGLISH])</f>
        <v>Tatra M131</v>
      </c>
      <c r="F455" t="s">
        <v>622</v>
      </c>
      <c r="G455" s="45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8">
        <f>16.6/2</f>
        <v>8.3000000000000007</v>
      </c>
      <c r="R455">
        <v>152</v>
      </c>
      <c r="S455">
        <v>60</v>
      </c>
      <c r="T455" s="25">
        <f>29/2</f>
        <v>14.5</v>
      </c>
      <c r="U455" s="24">
        <f>IFERROR(PROPERTIES[[#This Row],[TE_STARTING_KN]]/(PROPERTIES[[#This Row],[WEIGHT]]*9.81),0)</f>
        <v>0.17808236002112421</v>
      </c>
      <c r="V455" s="24">
        <v>0</v>
      </c>
      <c r="W455" s="21">
        <f>ROUND(IF(IFERROR(PROPERTIES[[#This Row],[TE_COEFFICIENT_CALC]],0)=0,PROPERTIES[[#This Row],[TE_COEFFICIENT_MANUAL]],PROPERTIES[[#This Row],[TE_COEFFICIENT_CALC]]),3)</f>
        <v>0.17799999999999999</v>
      </c>
      <c r="X455" s="9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1">
        <v>69</v>
      </c>
      <c r="Z455" s="7">
        <v>6</v>
      </c>
      <c r="AA455" t="s">
        <v>245</v>
      </c>
      <c r="AB455" t="s">
        <v>238</v>
      </c>
      <c r="AC455" t="s">
        <v>238</v>
      </c>
      <c r="AD455" s="2" t="s">
        <v>238</v>
      </c>
      <c r="AE455" s="2" t="s">
        <v>253</v>
      </c>
      <c r="AF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5" s="2" t="str">
        <f>SUBSTITUTE(SUBSTITUTE(PROPERTIES[[#This Row],[PURCHASECOST_VALUE]], "PURCHASECOST_", ""), "_VALUE", "")</f>
        <v>DMU</v>
      </c>
      <c r="AI455" s="7" t="str" cm="1">
        <f t="array" ref="AI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5" s="43" t="b">
        <v>0</v>
      </c>
      <c r="AK455" s="8" t="b">
        <v>0</v>
      </c>
      <c r="BB455"/>
      <c r="BC455"/>
      <c r="BD455"/>
    </row>
    <row r="456" spans="1:56">
      <c r="A456" s="2" t="s">
        <v>3169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5" t="str">
        <f>_xlfn.XLOOKUP(PROPERTIES[[#This Row],[VEHIDCODE]],CONTROL[VEHIDCODE],CONTROL[ENGLISH])</f>
        <v>MAN VT 08.5</v>
      </c>
      <c r="F456" t="s">
        <v>623</v>
      </c>
      <c r="G456" s="45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8">
        <f>121/3</f>
        <v>40.333333333333336</v>
      </c>
      <c r="R456">
        <v>986</v>
      </c>
      <c r="S456">
        <v>140</v>
      </c>
      <c r="T456" s="25">
        <f>105/2</f>
        <v>52.5</v>
      </c>
      <c r="U456" s="24">
        <f>IFERROR(PROPERTIES[[#This Row],[TE_STARTING_KN]]/(PROPERTIES[[#This Row],[WEIGHT]]*9.81),0)</f>
        <v>0.13268632951702175</v>
      </c>
      <c r="V456" s="24">
        <v>0</v>
      </c>
      <c r="W456" s="21">
        <f>ROUND(IF(IFERROR(PROPERTIES[[#This Row],[TE_COEFFICIENT_CALC]],0)=0,PROPERTIES[[#This Row],[TE_COEFFICIENT_MANUAL]],PROPERTIES[[#This Row],[TE_COEFFICIENT_CALC]]),3)</f>
        <v>0.13300000000000001</v>
      </c>
      <c r="X456" s="9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1">
        <f>INT(108/3)</f>
        <v>36</v>
      </c>
      <c r="Z456" s="7">
        <v>8</v>
      </c>
      <c r="AA456" t="s">
        <v>239</v>
      </c>
      <c r="AB456" t="s">
        <v>238</v>
      </c>
      <c r="AC456" t="s">
        <v>238</v>
      </c>
      <c r="AD456" s="2" t="s">
        <v>238</v>
      </c>
      <c r="AE456" s="2" t="s">
        <v>253</v>
      </c>
      <c r="AF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6" s="2" t="str">
        <f>SUBSTITUTE(SUBSTITUTE(PROPERTIES[[#This Row],[PURCHASECOST_VALUE]], "PURCHASECOST_", ""), "_VALUE", "")</f>
        <v>DMU</v>
      </c>
      <c r="AI456" s="7" t="str" cm="1">
        <f t="array" ref="AI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6" s="43" t="b">
        <v>0</v>
      </c>
      <c r="AK456" s="8" t="b">
        <v>0</v>
      </c>
      <c r="BB456"/>
      <c r="BC456"/>
      <c r="BD456"/>
    </row>
    <row r="457" spans="1:56">
      <c r="A457" s="2" t="s">
        <v>3170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5" t="str">
        <f>_xlfn.XLOOKUP(PROPERTIES[[#This Row],[VEHIDCODE]],CONTROL[VEHIDCODE],CONTROL[ENGLISH])</f>
        <v>South Australian Railways 400 'Redhen'</v>
      </c>
      <c r="F457" t="s">
        <v>580</v>
      </c>
      <c r="G457" s="45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8">
        <f>40.7/2</f>
        <v>20.350000000000001</v>
      </c>
      <c r="R457">
        <v>220</v>
      </c>
      <c r="S457">
        <v>88</v>
      </c>
      <c r="T457" s="25">
        <f>58/2</f>
        <v>29</v>
      </c>
      <c r="U457" s="24">
        <f>IFERROR(PROPERTIES[[#This Row],[TE_STARTING_KN]]/(PROPERTIES[[#This Row],[WEIGHT]]*9.81),0)</f>
        <v>0.14526620031207185</v>
      </c>
      <c r="V457" s="24">
        <v>0</v>
      </c>
      <c r="W457" s="21">
        <f>ROUND(IF(IFERROR(PROPERTIES[[#This Row],[TE_COEFFICIENT_CALC]],0)=0,PROPERTIES[[#This Row],[TE_COEFFICIENT_MANUAL]],PROPERTIES[[#This Row],[TE_COEFFICIENT_CALC]]),3)</f>
        <v>0.14499999999999999</v>
      </c>
      <c r="X457" s="9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1">
        <v>80</v>
      </c>
      <c r="Z457" s="7">
        <v>8</v>
      </c>
      <c r="AA457" t="s">
        <v>241</v>
      </c>
      <c r="AB457" t="s">
        <v>238</v>
      </c>
      <c r="AC457" t="s">
        <v>238</v>
      </c>
      <c r="AD457" s="2" t="s">
        <v>238</v>
      </c>
      <c r="AE457" s="2" t="s">
        <v>253</v>
      </c>
      <c r="AF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7" s="2" t="str">
        <f>SUBSTITUTE(SUBSTITUTE(PROPERTIES[[#This Row],[PURCHASECOST_VALUE]], "PURCHASECOST_", ""), "_VALUE", "")</f>
        <v>DMU</v>
      </c>
      <c r="AI457" s="7" t="str" cm="1">
        <f t="array" ref="AI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7" s="43" t="b">
        <v>0</v>
      </c>
      <c r="AK457" s="8" t="b">
        <v>0</v>
      </c>
      <c r="BB457"/>
      <c r="BC457"/>
      <c r="BD457"/>
    </row>
    <row r="458" spans="1:56">
      <c r="A458" s="2" t="s">
        <v>3171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5" t="str">
        <f>_xlfn.XLOOKUP(PROPERTIES[[#This Row],[VEHIDCODE]],CONTROL[VEHIDCODE],CONTROL[ENGLISH])</f>
        <v>MAN/LHB VT11.5/DB 601 'TEE'</v>
      </c>
      <c r="F458" t="s">
        <v>623</v>
      </c>
      <c r="G458" s="45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8">
        <f>44.2/2</f>
        <v>22.1</v>
      </c>
      <c r="R458">
        <v>2200</v>
      </c>
      <c r="S458">
        <v>160</v>
      </c>
      <c r="T458" s="25">
        <f>110/2</f>
        <v>55</v>
      </c>
      <c r="U458" s="24">
        <f>IFERROR(PROPERTIES[[#This Row],[TE_STARTING_KN]]/(PROPERTIES[[#This Row],[WEIGHT]]*9.81),0)</f>
        <v>0.25368886674876961</v>
      </c>
      <c r="V458" s="24">
        <v>0</v>
      </c>
      <c r="W458" s="21">
        <f>ROUND(IF(IFERROR(PROPERTIES[[#This Row],[TE_COEFFICIENT_CALC]],0)=0,PROPERTIES[[#This Row],[TE_COEFFICIENT_MANUAL]],PROPERTIES[[#This Row],[TE_COEFFICIENT_CALC]]),3)</f>
        <v>0.254</v>
      </c>
      <c r="X458" s="9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1">
        <v>34</v>
      </c>
      <c r="Z458" s="7">
        <v>8</v>
      </c>
      <c r="AA458" t="s">
        <v>239</v>
      </c>
      <c r="AB458" t="s">
        <v>238</v>
      </c>
      <c r="AC458" t="s">
        <v>238</v>
      </c>
      <c r="AD458" s="2" t="s">
        <v>238</v>
      </c>
      <c r="AE458" s="2" t="s">
        <v>253</v>
      </c>
      <c r="AF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8" s="2" t="str">
        <f>SUBSTITUTE(SUBSTITUTE(PROPERTIES[[#This Row],[PURCHASECOST_VALUE]], "PURCHASECOST_", ""), "_VALUE", "")</f>
        <v>DMU</v>
      </c>
      <c r="AI458" s="7" t="str" cm="1">
        <f t="array" ref="AI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8" s="43" t="b">
        <v>0</v>
      </c>
      <c r="AK458" s="8" t="b">
        <v>0</v>
      </c>
      <c r="BB458"/>
      <c r="BC458"/>
      <c r="BD458"/>
    </row>
    <row r="459" spans="1:56">
      <c r="A459" s="2" t="s">
        <v>3172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5" t="str">
        <f>_xlfn.XLOOKUP(PROPERTIES[[#This Row],[VEHIDCODE]],CONTROL[VEHIDCODE],CONTROL[ENGLISH])</f>
        <v>Werkspoor Plan U DE-III</v>
      </c>
      <c r="F459" t="s">
        <v>731</v>
      </c>
      <c r="G459" s="45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8">
        <f>136/3</f>
        <v>45.333333333333336</v>
      </c>
      <c r="R459">
        <v>987</v>
      </c>
      <c r="S459">
        <v>125</v>
      </c>
      <c r="T459" s="25">
        <f>125/2</f>
        <v>62.5</v>
      </c>
      <c r="U459" s="24">
        <f>IFERROR(PROPERTIES[[#This Row],[TE_STARTING_KN]]/(PROPERTIES[[#This Row],[WEIGHT]]*9.81),0)</f>
        <v>0.14053786652275588</v>
      </c>
      <c r="V459" s="24">
        <v>0</v>
      </c>
      <c r="W459" s="21">
        <f>ROUND(IF(IFERROR(PROPERTIES[[#This Row],[TE_COEFFICIENT_CALC]],0)=0,PROPERTIES[[#This Row],[TE_COEFFICIENT_MANUAL]],PROPERTIES[[#This Row],[TE_COEFFICIENT_CALC]]),3)</f>
        <v>0.14099999999999999</v>
      </c>
      <c r="X459" s="9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1">
        <f>INT((168+24)/2)</f>
        <v>96</v>
      </c>
      <c r="Z459" s="7">
        <v>8</v>
      </c>
      <c r="AA459" t="s">
        <v>239</v>
      </c>
      <c r="AB459" t="s">
        <v>238</v>
      </c>
      <c r="AC459" t="s">
        <v>238</v>
      </c>
      <c r="AD459" s="2" t="s">
        <v>238</v>
      </c>
      <c r="AE459" s="2" t="s">
        <v>253</v>
      </c>
      <c r="AF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9" s="2" t="str">
        <f>SUBSTITUTE(SUBSTITUTE(PROPERTIES[[#This Row],[PURCHASECOST_VALUE]], "PURCHASECOST_", ""), "_VALUE", "")</f>
        <v>DMU</v>
      </c>
      <c r="AI459" s="7" t="str" cm="1">
        <f t="array" ref="AI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9" s="43" t="b">
        <v>0</v>
      </c>
      <c r="AK459" s="8" t="b">
        <v>0</v>
      </c>
      <c r="BB459"/>
      <c r="BC459"/>
      <c r="BD459"/>
    </row>
    <row r="460" spans="1:56">
      <c r="A460" s="2" t="s">
        <v>3173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5" t="str">
        <f>_xlfn.XLOOKUP(PROPERTIES[[#This Row],[VEHIDCODE]],CONTROL[VEHIDCODE],CONTROL[ENGLISH])</f>
        <v>UAC 'Turbo Train'</v>
      </c>
      <c r="F460" t="s">
        <v>604</v>
      </c>
      <c r="G460" s="45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8">
        <f>INT(165/7)</f>
        <v>23</v>
      </c>
      <c r="R460">
        <v>2000</v>
      </c>
      <c r="S460">
        <v>193</v>
      </c>
      <c r="T460" s="25">
        <f>80/2</f>
        <v>40</v>
      </c>
      <c r="U460" s="24">
        <f>IFERROR(PROPERTIES[[#This Row],[TE_STARTING_KN]]/(PROPERTIES[[#This Row],[WEIGHT]]*9.81),0)</f>
        <v>0.17728138988609668</v>
      </c>
      <c r="V460" s="24">
        <v>0</v>
      </c>
      <c r="W460" s="21">
        <f>ROUND(IF(IFERROR(PROPERTIES[[#This Row],[TE_COEFFICIENT_CALC]],0)=0,PROPERTIES[[#This Row],[TE_COEFFICIENT_MANUAL]],PROPERTIES[[#This Row],[TE_COEFFICIENT_CALC]]),3)</f>
        <v>0.17699999999999999</v>
      </c>
      <c r="X460" s="9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1">
        <f>INT((322-(PROPERTIES[[#This Row],[HEAD_CAPACITY]]*2))/5)</f>
        <v>46</v>
      </c>
      <c r="Z460" s="7">
        <v>8</v>
      </c>
      <c r="AA460" t="s">
        <v>244</v>
      </c>
      <c r="AB460" t="s">
        <v>238</v>
      </c>
      <c r="AC460" t="s">
        <v>238</v>
      </c>
      <c r="AD460" s="2" t="s">
        <v>238</v>
      </c>
      <c r="AE460" s="2" t="s">
        <v>253</v>
      </c>
      <c r="AF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0" s="2" t="str">
        <f>SUBSTITUTE(SUBSTITUTE(PROPERTIES[[#This Row],[PURCHASECOST_VALUE]], "PURCHASECOST_", ""), "_VALUE", "")</f>
        <v>DMU</v>
      </c>
      <c r="AI460" s="7" t="str" cm="1">
        <f t="array" ref="AI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0" s="43" t="b">
        <v>1</v>
      </c>
      <c r="AK460" s="8" t="b">
        <v>0</v>
      </c>
      <c r="BB460"/>
      <c r="BC460"/>
      <c r="BD460"/>
    </row>
    <row r="461" spans="1:56">
      <c r="A461" s="2" t="s">
        <v>3174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5" t="str">
        <f>_xlfn.XLOOKUP(PROPERTIES[[#This Row],[VEHIDCODE]],CONTROL[VEHIDCODE],CONTROL[ENGLISH])</f>
        <v>Ganz-MAVAG 811</v>
      </c>
      <c r="F461" t="s">
        <v>754</v>
      </c>
      <c r="G461" s="45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8">
        <f>42/2</f>
        <v>21</v>
      </c>
      <c r="R461">
        <v>1000</v>
      </c>
      <c r="S461">
        <v>118</v>
      </c>
      <c r="T461" s="25">
        <f>95/2</f>
        <v>47.5</v>
      </c>
      <c r="U461" s="24">
        <f>IFERROR(PROPERTIES[[#This Row],[TE_STARTING_KN]]/(PROPERTIES[[#This Row],[WEIGHT]]*9.81),0)</f>
        <v>0.23057133148876266</v>
      </c>
      <c r="V461" s="24">
        <v>0</v>
      </c>
      <c r="W461" s="21">
        <f>ROUND(IF(IFERROR(PROPERTIES[[#This Row],[TE_COEFFICIENT_CALC]],0)=0,PROPERTIES[[#This Row],[TE_COEFFICIENT_MANUAL]],PROPERTIES[[#This Row],[TE_COEFFICIENT_CALC]]),3)</f>
        <v>0.23100000000000001</v>
      </c>
      <c r="X461" s="9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1">
        <v>38</v>
      </c>
      <c r="Z461" s="7">
        <v>8</v>
      </c>
      <c r="AA461" t="s">
        <v>245</v>
      </c>
      <c r="AB461" t="s">
        <v>238</v>
      </c>
      <c r="AC461" t="s">
        <v>238</v>
      </c>
      <c r="AD461" s="2" t="s">
        <v>238</v>
      </c>
      <c r="AE461" s="2" t="s">
        <v>253</v>
      </c>
      <c r="AF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1" s="2" t="str">
        <f>SUBSTITUTE(SUBSTITUTE(PROPERTIES[[#This Row],[PURCHASECOST_VALUE]], "PURCHASECOST_", ""), "_VALUE", "")</f>
        <v>DMU</v>
      </c>
      <c r="AI461" s="7" t="str" cm="1">
        <f t="array" ref="AI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1" s="43" t="b">
        <v>0</v>
      </c>
      <c r="AK461" s="8" t="b">
        <v>0</v>
      </c>
      <c r="BB461"/>
      <c r="BC461"/>
      <c r="BD461"/>
    </row>
    <row r="462" spans="1:56">
      <c r="A462" s="2" t="s">
        <v>3175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5" t="str">
        <f>_xlfn.XLOOKUP(PROPERTIES[[#This Row],[VEHIDCODE]],CONTROL[VEHIDCODE],CONTROL[ENGLISH])</f>
        <v>BREL 43 IC125</v>
      </c>
      <c r="F462" t="s">
        <v>642</v>
      </c>
      <c r="G462" s="45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8">
        <v>35</v>
      </c>
      <c r="R462">
        <f>2250*2</f>
        <v>4500</v>
      </c>
      <c r="S462">
        <v>201</v>
      </c>
      <c r="T462" s="25">
        <f>178/2</f>
        <v>89</v>
      </c>
      <c r="U462" s="24">
        <f>IFERROR(PROPERTIES[[#This Row],[TE_STARTING_KN]]/(PROPERTIES[[#This Row],[WEIGHT]]*9.81),0)</f>
        <v>0.25921071792631423</v>
      </c>
      <c r="V462" s="24">
        <v>0</v>
      </c>
      <c r="W462" s="21">
        <f>ROUND(IF(IFERROR(PROPERTIES[[#This Row],[TE_COEFFICIENT_CALC]],0)=0,PROPERTIES[[#This Row],[TE_COEFFICIENT_MANUAL]],PROPERTIES[[#This Row],[TE_COEFFICIENT_CALC]]),3)</f>
        <v>0.25900000000000001</v>
      </c>
      <c r="X462" s="9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1">
        <v>74</v>
      </c>
      <c r="Z462" s="7">
        <v>8</v>
      </c>
      <c r="AA462" t="s">
        <v>243</v>
      </c>
      <c r="AB462" t="s">
        <v>238</v>
      </c>
      <c r="AC462" t="s">
        <v>238</v>
      </c>
      <c r="AD462" s="2" t="s">
        <v>238</v>
      </c>
      <c r="AE462" s="2" t="s">
        <v>253</v>
      </c>
      <c r="AF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2" s="2" t="str">
        <f>SUBSTITUTE(SUBSTITUTE(PROPERTIES[[#This Row],[PURCHASECOST_VALUE]], "PURCHASECOST_", ""), "_VALUE", "")</f>
        <v>DMU</v>
      </c>
      <c r="AI462" s="7" t="str" cm="1">
        <f t="array" ref="AI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62" s="43" t="b">
        <v>0</v>
      </c>
      <c r="AK462" s="8" t="b">
        <v>0</v>
      </c>
      <c r="BB462"/>
      <c r="BC462"/>
      <c r="BD462"/>
    </row>
    <row r="463" spans="1:56">
      <c r="A463" s="2" t="s">
        <v>3176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5" t="str">
        <f>_xlfn.XLOOKUP(PROPERTIES[[#This Row],[VEHIDCODE]],CONTROL[VEHIDCODE],CONTROL[ENGLISH])</f>
        <v>Bombardier M6109</v>
      </c>
      <c r="F463" t="s">
        <v>604</v>
      </c>
      <c r="G463" s="45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8">
        <f>113/2</f>
        <v>56.5</v>
      </c>
      <c r="R463">
        <f>2700*2</f>
        <v>5400</v>
      </c>
      <c r="S463">
        <v>153</v>
      </c>
      <c r="T463" s="25">
        <f>245/2</f>
        <v>122.5</v>
      </c>
      <c r="U463" s="24">
        <f>IFERROR(PROPERTIES[[#This Row],[TE_STARTING_KN]]/(PROPERTIES[[#This Row],[WEIGHT]]*9.81),0)</f>
        <v>0.22101341416109624</v>
      </c>
      <c r="V463" s="24">
        <v>0</v>
      </c>
      <c r="W463" s="21">
        <f>ROUND(IF(IFERROR(PROPERTIES[[#This Row],[TE_COEFFICIENT_CALC]],0)=0,PROPERTIES[[#This Row],[TE_COEFFICIENT_MANUAL]],PROPERTIES[[#This Row],[TE_COEFFICIENT_CALC]]),3)</f>
        <v>0.221</v>
      </c>
      <c r="X463" s="9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1">
        <v>68</v>
      </c>
      <c r="Z463" s="7">
        <v>8</v>
      </c>
      <c r="AA463" t="s">
        <v>244</v>
      </c>
      <c r="AB463" t="s">
        <v>238</v>
      </c>
      <c r="AC463" t="s">
        <v>238</v>
      </c>
      <c r="AD463" s="2" t="s">
        <v>238</v>
      </c>
      <c r="AE463" s="2" t="s">
        <v>253</v>
      </c>
      <c r="AF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3" s="2" t="str">
        <f>SUBSTITUTE(SUBSTITUTE(PROPERTIES[[#This Row],[PURCHASECOST_VALUE]], "PURCHASECOST_", ""), "_VALUE", "")</f>
        <v>DMU</v>
      </c>
      <c r="AI463" s="7" t="str" cm="1">
        <f t="array" ref="AI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3" s="43" t="b">
        <v>0</v>
      </c>
      <c r="AK463" s="8" t="b">
        <v>0</v>
      </c>
      <c r="BB463"/>
      <c r="BC463"/>
      <c r="BD463"/>
    </row>
    <row r="464" spans="1:56">
      <c r="A464" s="2" t="s">
        <v>3177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5" t="str">
        <f>_xlfn.XLOOKUP(PROPERTIES[[#This Row],[VEHIDCODE]],CONTROL[VEHIDCODE],CONTROL[ENGLISH])</f>
        <v>ABB IC3 Y2</v>
      </c>
      <c r="F464" t="s">
        <v>761</v>
      </c>
      <c r="G464" s="45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8">
        <f>INT(97/2)</f>
        <v>48</v>
      </c>
      <c r="R464">
        <f>1600*2</f>
        <v>3200</v>
      </c>
      <c r="S464">
        <v>180</v>
      </c>
      <c r="T464" s="25">
        <f>115/2</f>
        <v>57.5</v>
      </c>
      <c r="U464" s="24">
        <f>IFERROR(PROPERTIES[[#This Row],[TE_STARTING_KN]]/(PROPERTIES[[#This Row],[WEIGHT]]*9.81),0)</f>
        <v>0.12211179068977235</v>
      </c>
      <c r="V464" s="24">
        <v>0</v>
      </c>
      <c r="W464" s="21">
        <f>ROUND(IF(IFERROR(PROPERTIES[[#This Row],[TE_COEFFICIENT_CALC]],0)=0,PROPERTIES[[#This Row],[TE_COEFFICIENT_MANUAL]],PROPERTIES[[#This Row],[TE_COEFFICIENT_CALC]]),3)</f>
        <v>0.122</v>
      </c>
      <c r="X464" s="9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1">
        <v>48</v>
      </c>
      <c r="Z464" s="7">
        <v>8</v>
      </c>
      <c r="AA464" t="s">
        <v>248</v>
      </c>
      <c r="AB464" t="s">
        <v>242</v>
      </c>
      <c r="AC464" t="s">
        <v>238</v>
      </c>
      <c r="AD464" s="2" t="s">
        <v>238</v>
      </c>
      <c r="AE464" s="2" t="s">
        <v>253</v>
      </c>
      <c r="AF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4" s="2" t="str">
        <f>SUBSTITUTE(SUBSTITUTE(PROPERTIES[[#This Row],[PURCHASECOST_VALUE]], "PURCHASECOST_", ""), "_VALUE", "")</f>
        <v>DMU</v>
      </c>
      <c r="AI464" s="7" t="str" cm="1">
        <f t="array" ref="AI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4" s="43" t="b">
        <v>0</v>
      </c>
      <c r="AK464" s="8" t="b">
        <v>0</v>
      </c>
      <c r="BB464"/>
      <c r="BC464"/>
      <c r="BD464"/>
    </row>
    <row r="465" spans="1:56">
      <c r="A465" s="2" t="s">
        <v>3178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5" t="str">
        <f>_xlfn.XLOOKUP(PROPERTIES[[#This Row],[VEHIDCODE]],CONTROL[VEHIDCODE],CONTROL[ENGLISH])</f>
        <v>CAF 594 TRD</v>
      </c>
      <c r="F465" t="s">
        <v>634</v>
      </c>
      <c r="G465" s="45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8">
        <v>49</v>
      </c>
      <c r="R465">
        <v>3200</v>
      </c>
      <c r="S465">
        <v>160</v>
      </c>
      <c r="T465" s="25">
        <f>120/2</f>
        <v>60</v>
      </c>
      <c r="U465" s="24">
        <f>IFERROR(PROPERTIES[[#This Row],[TE_STARTING_KN]]/(PROPERTIES[[#This Row],[WEIGHT]]*9.81),0)</f>
        <v>0.12482057043000687</v>
      </c>
      <c r="V465" s="24">
        <v>0</v>
      </c>
      <c r="W465" s="21">
        <f>ROUND(IF(IFERROR(PROPERTIES[[#This Row],[TE_COEFFICIENT_CALC]],0)=0,PROPERTIES[[#This Row],[TE_COEFFICIENT_MANUAL]],PROPERTIES[[#This Row],[TE_COEFFICIENT_CALC]]),3)</f>
        <v>0.125</v>
      </c>
      <c r="X465" s="9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1">
        <f>126/3</f>
        <v>42</v>
      </c>
      <c r="Z465" s="7">
        <v>8</v>
      </c>
      <c r="AA465" t="s">
        <v>248</v>
      </c>
      <c r="AB465" t="s">
        <v>242</v>
      </c>
      <c r="AC465" t="s">
        <v>238</v>
      </c>
      <c r="AD465" s="2" t="s">
        <v>238</v>
      </c>
      <c r="AE465" s="2" t="s">
        <v>253</v>
      </c>
      <c r="AF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5" s="2" t="str">
        <f>SUBSTITUTE(SUBSTITUTE(PROPERTIES[[#This Row],[PURCHASECOST_VALUE]], "PURCHASECOST_", ""), "_VALUE", "")</f>
        <v>DMU</v>
      </c>
      <c r="AI465" s="7" t="str" cm="1">
        <f t="array" ref="AI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5" s="43" t="b">
        <v>0</v>
      </c>
      <c r="AK465" s="8" t="b">
        <v>0</v>
      </c>
      <c r="BB465"/>
      <c r="BC465"/>
      <c r="BD465"/>
    </row>
    <row r="466" spans="1:56">
      <c r="A466" s="2" t="s">
        <v>3179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5" t="str">
        <f>_xlfn.XLOOKUP(PROPERTIES[[#This Row],[VEHIDCODE]],CONTROL[VEHIDCODE],CONTROL[ENGLISH])</f>
        <v>Adtranz Class 168 'Clubman'</v>
      </c>
      <c r="F466" t="s">
        <v>642</v>
      </c>
      <c r="G466" s="45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8">
        <v>50</v>
      </c>
      <c r="R466">
        <f>422*2</f>
        <v>844</v>
      </c>
      <c r="S466">
        <v>160</v>
      </c>
      <c r="T466" s="25">
        <f>112/2</f>
        <v>56</v>
      </c>
      <c r="U466" s="24">
        <f>IFERROR(PROPERTIES[[#This Row],[TE_STARTING_KN]]/(PROPERTIES[[#This Row],[WEIGHT]]*9.81),0)</f>
        <v>0.11416921508664628</v>
      </c>
      <c r="V466" s="24">
        <v>0</v>
      </c>
      <c r="W466" s="21">
        <f>ROUND(IF(IFERROR(PROPERTIES[[#This Row],[TE_COEFFICIENT_CALC]],0)=0,PROPERTIES[[#This Row],[TE_COEFFICIENT_MANUAL]],PROPERTIES[[#This Row],[TE_COEFFICIENT_CALC]]),3)</f>
        <v>0.114</v>
      </c>
      <c r="X466" s="9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1">
        <f>INT(204/3)</f>
        <v>68</v>
      </c>
      <c r="Z466" s="7">
        <v>8</v>
      </c>
      <c r="AA466" t="s">
        <v>243</v>
      </c>
      <c r="AB466" t="s">
        <v>238</v>
      </c>
      <c r="AC466" t="s">
        <v>238</v>
      </c>
      <c r="AD466" s="2" t="s">
        <v>238</v>
      </c>
      <c r="AE466" s="2" t="s">
        <v>253</v>
      </c>
      <c r="AF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6" s="2" t="str">
        <f>SUBSTITUTE(SUBSTITUTE(PROPERTIES[[#This Row],[PURCHASECOST_VALUE]], "PURCHASECOST_", ""), "_VALUE", "")</f>
        <v>DMU</v>
      </c>
      <c r="AI466" s="7" t="str" cm="1">
        <f t="array" ref="AI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6" s="43" t="b">
        <v>0</v>
      </c>
      <c r="AK466" s="8" t="b">
        <v>0</v>
      </c>
      <c r="BB466"/>
      <c r="BC466"/>
      <c r="BD466"/>
    </row>
    <row r="467" spans="1:56">
      <c r="A467" s="2" t="s">
        <v>3180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5" t="str">
        <f>_xlfn.XLOOKUP(PROPERTIES[[#This Row],[VEHIDCODE]],CONTROL[VEHIDCODE],CONTROL[ENGLISH])</f>
        <v>Adtranz Class 612 'Regio Swinger'</v>
      </c>
      <c r="F467" t="s">
        <v>623</v>
      </c>
      <c r="G467" s="45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8">
        <v>58</v>
      </c>
      <c r="R467">
        <v>1520</v>
      </c>
      <c r="S467">
        <v>160</v>
      </c>
      <c r="T467" s="25">
        <f>145/2</f>
        <v>72.5</v>
      </c>
      <c r="U467" s="24">
        <f>IFERROR(PROPERTIES[[#This Row],[TE_STARTING_KN]]/(PROPERTIES[[#This Row],[WEIGHT]]*9.81),0)</f>
        <v>0.127420998980632</v>
      </c>
      <c r="V467" s="24">
        <v>0</v>
      </c>
      <c r="W467" s="21">
        <f>ROUND(IF(IFERROR(PROPERTIES[[#This Row],[TE_COEFFICIENT_CALC]],0)=0,PROPERTIES[[#This Row],[TE_COEFFICIENT_MANUAL]],PROPERTIES[[#This Row],[TE_COEFFICIENT_CALC]]),3)</f>
        <v>0.127</v>
      </c>
      <c r="X467" s="9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1">
        <v>73</v>
      </c>
      <c r="Z467" s="7">
        <v>8</v>
      </c>
      <c r="AA467" t="s">
        <v>239</v>
      </c>
      <c r="AB467" t="s">
        <v>245</v>
      </c>
      <c r="AC467" t="s">
        <v>238</v>
      </c>
      <c r="AD467" s="2" t="s">
        <v>238</v>
      </c>
      <c r="AE467" s="2" t="s">
        <v>253</v>
      </c>
      <c r="AF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7" s="2" t="str">
        <f>SUBSTITUTE(SUBSTITUTE(PROPERTIES[[#This Row],[PURCHASECOST_VALUE]], "PURCHASECOST_", ""), "_VALUE", "")</f>
        <v>DMU</v>
      </c>
      <c r="AI467" s="7" t="str" cm="1">
        <f t="array" ref="AI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7" s="43" t="b">
        <v>0</v>
      </c>
      <c r="AK467" s="8" t="b">
        <v>0</v>
      </c>
      <c r="BB467"/>
      <c r="BC467"/>
      <c r="BD467"/>
    </row>
    <row r="468" spans="1:56">
      <c r="A468" s="2" t="s">
        <v>3181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5" t="str">
        <f>_xlfn.XLOOKUP(PROPERTIES[[#This Row],[VEHIDCODE]],CONTROL[VEHIDCODE],CONTROL[ENGLISH])</f>
        <v>Siemens Desiro</v>
      </c>
      <c r="F468" t="s">
        <v>623</v>
      </c>
      <c r="G468" s="45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8">
        <f>88/2</f>
        <v>44</v>
      </c>
      <c r="R468">
        <f>490*2</f>
        <v>980</v>
      </c>
      <c r="S468">
        <v>120</v>
      </c>
      <c r="T468" s="25">
        <f>85/2</f>
        <v>42.5</v>
      </c>
      <c r="U468" s="24">
        <f>IFERROR(PROPERTIES[[#This Row],[TE_STARTING_KN]]/(PROPERTIES[[#This Row],[WEIGHT]]*9.81),0)</f>
        <v>9.8461681030488357E-2</v>
      </c>
      <c r="V468" s="24">
        <v>0</v>
      </c>
      <c r="W468" s="21">
        <f>ROUND(IF(IFERROR(PROPERTIES[[#This Row],[TE_COEFFICIENT_CALC]],0)=0,PROPERTIES[[#This Row],[TE_COEFFICIENT_MANUAL]],PROPERTIES[[#This Row],[TE_COEFFICIENT_CALC]]),3)</f>
        <v>9.8000000000000004E-2</v>
      </c>
      <c r="X468" s="9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1">
        <f>PROPERTIES[[#This Row],[HEAD_CAPACITY]]</f>
        <v>104</v>
      </c>
      <c r="Z468" s="7">
        <v>8</v>
      </c>
      <c r="AA468" t="s">
        <v>248</v>
      </c>
      <c r="AB468" t="s">
        <v>244</v>
      </c>
      <c r="AC468" t="s">
        <v>238</v>
      </c>
      <c r="AD468" s="2" t="s">
        <v>238</v>
      </c>
      <c r="AE468" s="2" t="s">
        <v>253</v>
      </c>
      <c r="AF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8" s="2" t="str">
        <f>SUBSTITUTE(SUBSTITUTE(PROPERTIES[[#This Row],[PURCHASECOST_VALUE]], "PURCHASECOST_", ""), "_VALUE", "")</f>
        <v>DMU</v>
      </c>
      <c r="AI468" s="7" t="str" cm="1">
        <f t="array" ref="AI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8" s="43" t="b">
        <v>0</v>
      </c>
      <c r="AK468" s="8" t="b">
        <v>0</v>
      </c>
      <c r="BB468"/>
      <c r="BC468"/>
      <c r="BD468"/>
    </row>
    <row r="469" spans="1:56">
      <c r="A469" s="2" t="s">
        <v>3182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5" t="str">
        <f>_xlfn.XLOOKUP(PROPERTIES[[#This Row],[VEHIDCODE]],CONTROL[VEHIDCODE],CONTROL[ENGLISH])</f>
        <v>Alstom Coradia LINT</v>
      </c>
      <c r="F469" t="s">
        <v>625</v>
      </c>
      <c r="G469" s="45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8">
        <v>31</v>
      </c>
      <c r="R469">
        <v>422</v>
      </c>
      <c r="S469">
        <v>120</v>
      </c>
      <c r="T469" s="25">
        <f>75/2</f>
        <v>37.5</v>
      </c>
      <c r="U469" s="24">
        <f>IFERROR(PROPERTIES[[#This Row],[TE_STARTING_KN]]/(PROPERTIES[[#This Row],[WEIGHT]]*9.81),0)</f>
        <v>0.12331064417480517</v>
      </c>
      <c r="V469" s="24">
        <v>0</v>
      </c>
      <c r="W469" s="21">
        <f>ROUND(IF(IFERROR(PROPERTIES[[#This Row],[TE_COEFFICIENT_CALC]],0)=0,PROPERTIES[[#This Row],[TE_COEFFICIENT_MANUAL]],PROPERTIES[[#This Row],[TE_COEFFICIENT_CALC]]),3)</f>
        <v>0.123</v>
      </c>
      <c r="X469" s="9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1">
        <f>PROPERTIES[[#This Row],[HEAD_CAPACITY]]</f>
        <v>137</v>
      </c>
      <c r="Z469" s="7">
        <v>8</v>
      </c>
      <c r="AA469" t="s">
        <v>243</v>
      </c>
      <c r="AB469" t="s">
        <v>238</v>
      </c>
      <c r="AC469" t="s">
        <v>238</v>
      </c>
      <c r="AD469" s="2" t="s">
        <v>238</v>
      </c>
      <c r="AE469" s="2" t="s">
        <v>253</v>
      </c>
      <c r="AF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9" s="2" t="str">
        <f>SUBSTITUTE(SUBSTITUTE(PROPERTIES[[#This Row],[PURCHASECOST_VALUE]], "PURCHASECOST_", ""), "_VALUE", "")</f>
        <v>DMU</v>
      </c>
      <c r="AI469" s="7" t="str" cm="1">
        <f t="array" ref="AI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9" s="43" t="b">
        <v>0</v>
      </c>
      <c r="AK469" s="8" t="b">
        <v>0</v>
      </c>
      <c r="BB469"/>
      <c r="BC469"/>
      <c r="BD469"/>
    </row>
    <row r="470" spans="1:56">
      <c r="A470" s="2" t="s">
        <v>3183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5" t="str">
        <f>_xlfn.XLOOKUP(PROPERTIES[[#This Row],[VEHIDCODE]],CONTROL[VEHIDCODE],CONTROL[ENGLISH])</f>
        <v>Bombardier Talent NSB BM 93</v>
      </c>
      <c r="F470" t="s">
        <v>732</v>
      </c>
      <c r="G470" s="45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8">
        <f>77/2</f>
        <v>38.5</v>
      </c>
      <c r="R470">
        <v>810</v>
      </c>
      <c r="S470">
        <v>140</v>
      </c>
      <c r="T470" s="25">
        <f>100/2</f>
        <v>50</v>
      </c>
      <c r="U470" s="24">
        <f>IFERROR(PROPERTIES[[#This Row],[TE_STARTING_KN]]/(PROPERTIES[[#This Row],[WEIGHT]]*9.81),0)</f>
        <v>0.13238545348637093</v>
      </c>
      <c r="V470" s="24">
        <v>0</v>
      </c>
      <c r="W470" s="21">
        <f>ROUND(IF(IFERROR(PROPERTIES[[#This Row],[TE_COEFFICIENT_CALC]],0)=0,PROPERTIES[[#This Row],[TE_COEFFICIENT_MANUAL]],PROPERTIES[[#This Row],[TE_COEFFICIENT_CALC]]),3)</f>
        <v>0.13200000000000001</v>
      </c>
      <c r="X470" s="9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1">
        <f>76/2</f>
        <v>38</v>
      </c>
      <c r="Z470" s="7">
        <v>8</v>
      </c>
      <c r="AA470" t="s">
        <v>243</v>
      </c>
      <c r="AB470" t="s">
        <v>238</v>
      </c>
      <c r="AC470" t="s">
        <v>238</v>
      </c>
      <c r="AD470" s="2" t="s">
        <v>238</v>
      </c>
      <c r="AE470" s="2" t="s">
        <v>253</v>
      </c>
      <c r="AF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0" s="2" t="str">
        <f>SUBSTITUTE(SUBSTITUTE(PROPERTIES[[#This Row],[PURCHASECOST_VALUE]], "PURCHASECOST_", ""), "_VALUE", "")</f>
        <v>DMU</v>
      </c>
      <c r="AI470" s="7" t="str" cm="1">
        <f t="array" ref="AI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0" s="43" t="b">
        <v>0</v>
      </c>
      <c r="AK470" s="8" t="b">
        <v>0</v>
      </c>
      <c r="BB470"/>
      <c r="BC470"/>
      <c r="BD470"/>
    </row>
    <row r="471" spans="1:56">
      <c r="A471" s="2" t="s">
        <v>3184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5" t="str">
        <f>_xlfn.XLOOKUP(PROPERTIES[[#This Row],[VEHIDCODE]],CONTROL[VEHIDCODE],CONTROL[ENGLISH])</f>
        <v>UGL WD 'Prospector'</v>
      </c>
      <c r="F471" t="s">
        <v>580</v>
      </c>
      <c r="G471" s="45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8">
        <v>33</v>
      </c>
      <c r="R471">
        <f>520*2</f>
        <v>1040</v>
      </c>
      <c r="S471">
        <v>200</v>
      </c>
      <c r="T471" s="25">
        <f>160/2</f>
        <v>80</v>
      </c>
      <c r="U471" s="24">
        <f>IFERROR(PROPERTIES[[#This Row],[TE_STARTING_KN]]/(PROPERTIES[[#This Row],[WEIGHT]]*9.81),0)</f>
        <v>0.24711951317455902</v>
      </c>
      <c r="V471" s="24">
        <v>0</v>
      </c>
      <c r="W471" s="21">
        <f>ROUND(IF(IFERROR(PROPERTIES[[#This Row],[TE_COEFFICIENT_CALC]],0)=0,PROPERTIES[[#This Row],[TE_COEFFICIENT_MANUAL]],PROPERTIES[[#This Row],[TE_COEFFICIENT_CALC]]),3)</f>
        <v>0.247</v>
      </c>
      <c r="X471" s="9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1">
        <v>68</v>
      </c>
      <c r="Z471" s="7">
        <v>8</v>
      </c>
      <c r="AA471" t="s">
        <v>241</v>
      </c>
      <c r="AB471" t="s">
        <v>238</v>
      </c>
      <c r="AC471" t="s">
        <v>238</v>
      </c>
      <c r="AD471" s="2" t="s">
        <v>238</v>
      </c>
      <c r="AE471" s="2" t="s">
        <v>253</v>
      </c>
      <c r="AF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1" s="2" t="str">
        <f>SUBSTITUTE(SUBSTITUTE(PROPERTIES[[#This Row],[PURCHASECOST_VALUE]], "PURCHASECOST_", ""), "_VALUE", "")</f>
        <v>DMU</v>
      </c>
      <c r="AI471" s="7" t="str" cm="1">
        <f t="array" ref="AI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1" s="43" t="b">
        <v>0</v>
      </c>
      <c r="AK471" s="8" t="b">
        <v>0</v>
      </c>
      <c r="BB471"/>
      <c r="BC471"/>
      <c r="BD471"/>
    </row>
    <row r="472" spans="1:56">
      <c r="A472" s="2" t="s">
        <v>3185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5" t="str">
        <f>_xlfn.XLOOKUP(PROPERTIES[[#This Row],[VEHIDCODE]],CONTROL[VEHIDCODE],CONTROL[ENGLISH])</f>
        <v>UGL 'Hunter' Railcar</v>
      </c>
      <c r="F472" t="s">
        <v>580</v>
      </c>
      <c r="G472" s="45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8">
        <v>30</v>
      </c>
      <c r="R472">
        <v>750</v>
      </c>
      <c r="S472">
        <v>160</v>
      </c>
      <c r="T472" s="25">
        <f>140/2</f>
        <v>70</v>
      </c>
      <c r="U472" s="24">
        <f>IFERROR(PROPERTIES[[#This Row],[TE_STARTING_KN]]/(PROPERTIES[[#This Row],[WEIGHT]]*9.81),0)</f>
        <v>0.23785253143051308</v>
      </c>
      <c r="V472" s="24">
        <v>0</v>
      </c>
      <c r="W472" s="21">
        <f>ROUND(IF(IFERROR(PROPERTIES[[#This Row],[TE_COEFFICIENT_CALC]],0)=0,PROPERTIES[[#This Row],[TE_COEFFICIENT_MANUAL]],PROPERTIES[[#This Row],[TE_COEFFICIENT_CALC]]),3)</f>
        <v>0.23799999999999999</v>
      </c>
      <c r="X472" s="9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1">
        <v>70</v>
      </c>
      <c r="Z472" s="7">
        <v>8</v>
      </c>
      <c r="AA472" t="s">
        <v>241</v>
      </c>
      <c r="AB472" t="s">
        <v>238</v>
      </c>
      <c r="AC472" t="s">
        <v>238</v>
      </c>
      <c r="AD472" s="2" t="s">
        <v>238</v>
      </c>
      <c r="AE472" s="2" t="s">
        <v>253</v>
      </c>
      <c r="AF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2" s="2" t="str">
        <f>SUBSTITUTE(SUBSTITUTE(PROPERTIES[[#This Row],[PURCHASECOST_VALUE]], "PURCHASECOST_", ""), "_VALUE", "")</f>
        <v>DMU</v>
      </c>
      <c r="AI472" s="7" t="str" cm="1">
        <f t="array" ref="AI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2" s="43" t="b">
        <v>0</v>
      </c>
      <c r="AK472" s="8" t="b">
        <v>0</v>
      </c>
      <c r="BB472"/>
      <c r="BC472"/>
      <c r="BD472"/>
    </row>
    <row r="473" spans="1:56">
      <c r="A473" s="2" t="s">
        <v>3186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5" t="str">
        <f>_xlfn.XLOOKUP(PROPERTIES[[#This Row],[VEHIDCODE]],CONTROL[VEHIDCODE],CONTROL[ENGLISH])</f>
        <v>MVM RA2</v>
      </c>
      <c r="F473" t="s">
        <v>755</v>
      </c>
      <c r="G473" s="45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8">
        <v>44</v>
      </c>
      <c r="R473">
        <v>840</v>
      </c>
      <c r="S473">
        <v>100</v>
      </c>
      <c r="T473" s="25">
        <f>105/2</f>
        <v>52.5</v>
      </c>
      <c r="U473" s="24">
        <f>IFERROR(PROPERTIES[[#This Row],[TE_STARTING_KN]]/(PROPERTIES[[#This Row],[WEIGHT]]*9.81),0)</f>
        <v>0.12162913539060327</v>
      </c>
      <c r="V473" s="24">
        <v>0</v>
      </c>
      <c r="W473" s="21">
        <f>ROUND(IF(IFERROR(PROPERTIES[[#This Row],[TE_COEFFICIENT_CALC]],0)=0,PROPERTIES[[#This Row],[TE_COEFFICIENT_MANUAL]],PROPERTIES[[#This Row],[TE_COEFFICIENT_CALC]]),3)</f>
        <v>0.122</v>
      </c>
      <c r="X473" s="9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1">
        <v>86</v>
      </c>
      <c r="Z473" s="7">
        <v>8</v>
      </c>
      <c r="AA473" t="s">
        <v>2013</v>
      </c>
      <c r="AB473" t="s">
        <v>238</v>
      </c>
      <c r="AC473" t="s">
        <v>238</v>
      </c>
      <c r="AD473" s="2" t="s">
        <v>238</v>
      </c>
      <c r="AE473" s="2" t="s">
        <v>253</v>
      </c>
      <c r="AF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3" s="2" t="str">
        <f>SUBSTITUTE(SUBSTITUTE(PROPERTIES[[#This Row],[PURCHASECOST_VALUE]], "PURCHASECOST_", ""), "_VALUE", "")</f>
        <v>DMU</v>
      </c>
      <c r="AI473" s="7" t="str" cm="1">
        <f t="array" ref="AI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3" s="43" t="b">
        <v>0</v>
      </c>
      <c r="AK473" s="8" t="b">
        <v>0</v>
      </c>
      <c r="BB473"/>
      <c r="BC473"/>
      <c r="BD473"/>
    </row>
    <row r="474" spans="1:56">
      <c r="A474" s="2" t="s">
        <v>3187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5" t="str">
        <f>_xlfn.XLOOKUP(PROPERTIES[[#This Row],[VEHIDCODE]],CONTROL[VEHIDCODE],CONTROL[ENGLISH])</f>
        <v>AnsaldoBreda IC4</v>
      </c>
      <c r="F474" t="s">
        <v>625</v>
      </c>
      <c r="G474" s="45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8">
        <v>36</v>
      </c>
      <c r="R474">
        <v>750</v>
      </c>
      <c r="S474">
        <v>180</v>
      </c>
      <c r="T474" s="25">
        <f>100/2</f>
        <v>50</v>
      </c>
      <c r="U474" s="24">
        <f>IFERROR(PROPERTIES[[#This Row],[TE_STARTING_KN]]/(PROPERTIES[[#This Row],[WEIGHT]]*9.81),0)</f>
        <v>0.14157888775625777</v>
      </c>
      <c r="V474" s="24">
        <v>0</v>
      </c>
      <c r="W474" s="21">
        <f>ROUND(IF(IFERROR(PROPERTIES[[#This Row],[TE_COEFFICIENT_CALC]],0)=0,PROPERTIES[[#This Row],[TE_COEFFICIENT_MANUAL]],PROPERTIES[[#This Row],[TE_COEFFICIENT_CALC]]),3)</f>
        <v>0.14199999999999999</v>
      </c>
      <c r="X474" s="9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1">
        <v>52</v>
      </c>
      <c r="Z474" s="7">
        <v>8</v>
      </c>
      <c r="AA474" t="s">
        <v>243</v>
      </c>
      <c r="AB474" t="s">
        <v>242</v>
      </c>
      <c r="AC474" t="s">
        <v>238</v>
      </c>
      <c r="AD474" s="2" t="s">
        <v>238</v>
      </c>
      <c r="AE474" s="2" t="s">
        <v>253</v>
      </c>
      <c r="AF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4" s="2" t="str">
        <f>SUBSTITUTE(SUBSTITUTE(PROPERTIES[[#This Row],[PURCHASECOST_VALUE]], "PURCHASECOST_", ""), "_VALUE", "")</f>
        <v>DMU</v>
      </c>
      <c r="AI474" s="7" t="str" cm="1">
        <f t="array" ref="AI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4" s="43" t="b">
        <v>0</v>
      </c>
      <c r="AK474" s="8" t="b">
        <v>0</v>
      </c>
      <c r="BB474"/>
      <c r="BC474"/>
      <c r="BD474"/>
    </row>
    <row r="475" spans="1:56">
      <c r="A475" s="2" t="s">
        <v>3188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5" t="str">
        <f>_xlfn.XLOOKUP(PROPERTIES[[#This Row],[VEHIDCODE]],CONTROL[VEHIDCODE],CONTROL[ENGLISH])</f>
        <v>TZV Gredelj 7022</v>
      </c>
      <c r="F475" t="s">
        <v>663</v>
      </c>
      <c r="G475" s="45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8">
        <v>45</v>
      </c>
      <c r="R475">
        <v>520</v>
      </c>
      <c r="S475">
        <v>160</v>
      </c>
      <c r="T475" s="25">
        <f>125/2</f>
        <v>62.5</v>
      </c>
      <c r="U475" s="24">
        <f>IFERROR(PROPERTIES[[#This Row],[TE_STARTING_KN]]/(PROPERTIES[[#This Row],[WEIGHT]]*9.81),0)</f>
        <v>0.14157888775625777</v>
      </c>
      <c r="V475" s="24">
        <v>0</v>
      </c>
      <c r="W475" s="21">
        <f>ROUND(IF(IFERROR(PROPERTIES[[#This Row],[TE_COEFFICIENT_CALC]],0)=0,PROPERTIES[[#This Row],[TE_COEFFICIENT_MANUAL]],PROPERTIES[[#This Row],[TE_COEFFICIENT_CALC]]),3)</f>
        <v>0.14199999999999999</v>
      </c>
      <c r="X475" s="9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1">
        <v>66</v>
      </c>
      <c r="Z475" s="7">
        <v>8</v>
      </c>
      <c r="AA475" t="s">
        <v>245</v>
      </c>
      <c r="AB475" t="s">
        <v>238</v>
      </c>
      <c r="AC475" t="s">
        <v>238</v>
      </c>
      <c r="AD475" s="2" t="s">
        <v>238</v>
      </c>
      <c r="AE475" s="2" t="s">
        <v>253</v>
      </c>
      <c r="AF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5" s="2" t="str">
        <f>SUBSTITUTE(SUBSTITUTE(PROPERTIES[[#This Row],[PURCHASECOST_VALUE]], "PURCHASECOST_", ""), "_VALUE", "")</f>
        <v>DMU</v>
      </c>
      <c r="AI475" s="7" t="str" cm="1">
        <f t="array" ref="AI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5" s="43" t="b">
        <v>0</v>
      </c>
      <c r="AK475" s="8" t="b">
        <v>0</v>
      </c>
      <c r="BB475"/>
      <c r="BC475"/>
      <c r="BD475"/>
    </row>
    <row r="476" spans="1:56">
      <c r="A476" s="2" t="s">
        <v>3189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5" t="str">
        <f>_xlfn.XLOOKUP(PROPERTIES[[#This Row],[VEHIDCODE]],CONTROL[VEHIDCODE],CONTROL[ENGLISH])</f>
        <v>Fiat TCDD MT 5500</v>
      </c>
      <c r="F476" t="s">
        <v>1066</v>
      </c>
      <c r="G476" s="45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8">
        <v>35</v>
      </c>
      <c r="R476">
        <v>800</v>
      </c>
      <c r="S476">
        <v>90</v>
      </c>
      <c r="T476" s="25">
        <f>115/2</f>
        <v>57.5</v>
      </c>
      <c r="U476" s="24">
        <f>IFERROR(PROPERTIES[[#This Row],[TE_STARTING_KN]]/(PROPERTIES[[#This Row],[WEIGHT]]*9.81),0)</f>
        <v>0.1674675986602592</v>
      </c>
      <c r="V476" s="24">
        <v>0</v>
      </c>
      <c r="W476" s="21">
        <f>ROUND(IF(IFERROR(PROPERTIES[[#This Row],[TE_COEFFICIENT_CALC]],0)=0,PROPERTIES[[#This Row],[TE_COEFFICIENT_MANUAL]],PROPERTIES[[#This Row],[TE_COEFFICIENT_CALC]]),3)</f>
        <v>0.16700000000000001</v>
      </c>
      <c r="X476" s="9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1">
        <v>66</v>
      </c>
      <c r="Z476" s="7">
        <v>8</v>
      </c>
      <c r="AA476" t="s">
        <v>2013</v>
      </c>
      <c r="AB476" t="s">
        <v>238</v>
      </c>
      <c r="AC476" t="s">
        <v>238</v>
      </c>
      <c r="AD476" s="2" t="s">
        <v>238</v>
      </c>
      <c r="AE476" s="2" t="s">
        <v>253</v>
      </c>
      <c r="AF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6" s="2" t="str">
        <f>SUBSTITUTE(SUBSTITUTE(PROPERTIES[[#This Row],[PURCHASECOST_VALUE]], "PURCHASECOST_", ""), "_VALUE", "")</f>
        <v>DMU</v>
      </c>
      <c r="AI476" s="7" t="str" cm="1">
        <f t="array" ref="AI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6" s="43" t="b">
        <v>0</v>
      </c>
      <c r="AK476" s="8" t="b">
        <v>0</v>
      </c>
      <c r="BB476"/>
      <c r="BC476"/>
      <c r="BD476"/>
    </row>
    <row r="477" spans="1:56">
      <c r="A477" s="2" t="s">
        <v>3190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5" t="str">
        <f>_xlfn.XLOOKUP(PROPERTIES[[#This Row],[VEHIDCODE]],CONTROL[VEHIDCODE],CONTROL[ENGLISH])</f>
        <v>Fuji KiHa 181</v>
      </c>
      <c r="F477" t="s">
        <v>679</v>
      </c>
      <c r="G477" s="45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8">
        <v>44</v>
      </c>
      <c r="R477">
        <v>500</v>
      </c>
      <c r="S477">
        <v>120</v>
      </c>
      <c r="T477" s="25">
        <f>108/2</f>
        <v>54</v>
      </c>
      <c r="U477" s="24">
        <f>IFERROR(PROPERTIES[[#This Row],[TE_STARTING_KN]]/(PROPERTIES[[#This Row],[WEIGHT]]*9.81),0)</f>
        <v>0.12510425354462051</v>
      </c>
      <c r="V477" s="24">
        <v>0</v>
      </c>
      <c r="W477" s="21">
        <f>ROUND(IF(IFERROR(PROPERTIES[[#This Row],[TE_COEFFICIENT_CALC]],0)=0,PROPERTIES[[#This Row],[TE_COEFFICIENT_MANUAL]],PROPERTIES[[#This Row],[TE_COEFFICIENT_CALC]]),3)</f>
        <v>0.125</v>
      </c>
      <c r="X477" s="9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1">
        <v>76</v>
      </c>
      <c r="Z477" s="7">
        <v>8</v>
      </c>
      <c r="AA477" t="s">
        <v>247</v>
      </c>
      <c r="AB477" t="s">
        <v>238</v>
      </c>
      <c r="AC477" t="s">
        <v>238</v>
      </c>
      <c r="AD477" s="2" t="s">
        <v>238</v>
      </c>
      <c r="AE477" s="2" t="s">
        <v>253</v>
      </c>
      <c r="AF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7" s="2" t="str">
        <f>SUBSTITUTE(SUBSTITUTE(PROPERTIES[[#This Row],[PURCHASECOST_VALUE]], "PURCHASECOST_", ""), "_VALUE", "")</f>
        <v>DMU</v>
      </c>
      <c r="AI477" s="7" t="str" cm="1">
        <f t="array" ref="AI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7" s="43" t="b">
        <v>0</v>
      </c>
      <c r="AK477" s="8" t="b">
        <v>0</v>
      </c>
      <c r="BB477"/>
      <c r="BC477"/>
      <c r="BD477"/>
    </row>
    <row r="478" spans="1:56">
      <c r="A478" s="2" t="s">
        <v>3191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5" t="str">
        <f>_xlfn.XLOOKUP(PROPERTIES[[#This Row],[VEHIDCODE]],CONTROL[VEHIDCODE],CONTROL[ENGLISH])</f>
        <v>Vagonka Studenka 814</v>
      </c>
      <c r="F478" t="s">
        <v>622</v>
      </c>
      <c r="G478" s="45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7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8">
        <v>22</v>
      </c>
      <c r="R478">
        <v>325</v>
      </c>
      <c r="S478">
        <v>80</v>
      </c>
      <c r="T478" s="25">
        <f>54/2</f>
        <v>27</v>
      </c>
      <c r="U478" s="24">
        <f>IFERROR(PROPERTIES[[#This Row],[TE_STARTING_KN]]/(PROPERTIES[[#This Row],[WEIGHT]]*9.81),0)</f>
        <v>0.12510425354462051</v>
      </c>
      <c r="V478" s="24">
        <v>0</v>
      </c>
      <c r="W478" s="21">
        <f>ROUND(IF(IFERROR(PROPERTIES[[#This Row],[TE_COEFFICIENT_CALC]],0)=0,PROPERTIES[[#This Row],[TE_COEFFICIENT_MANUAL]],PROPERTIES[[#This Row],[TE_COEFFICIENT_CALC]]),3)</f>
        <v>0.125</v>
      </c>
      <c r="X478" s="9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1">
        <f>INT((135+151)/3)</f>
        <v>95</v>
      </c>
      <c r="Z478" s="7">
        <v>6</v>
      </c>
      <c r="AA478" t="s">
        <v>245</v>
      </c>
      <c r="AB478" t="s">
        <v>238</v>
      </c>
      <c r="AC478" t="s">
        <v>238</v>
      </c>
      <c r="AD478" s="2" t="s">
        <v>238</v>
      </c>
      <c r="AE478" s="2" t="s">
        <v>253</v>
      </c>
      <c r="AF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8" s="2" t="str">
        <f>SUBSTITUTE(SUBSTITUTE(PROPERTIES[[#This Row],[PURCHASECOST_VALUE]], "PURCHASECOST_", ""), "_VALUE", "")</f>
        <v>DMU</v>
      </c>
      <c r="AI478" s="7" t="str" cm="1">
        <f t="array" ref="AI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8" s="43" t="b">
        <v>0</v>
      </c>
      <c r="AK478" s="8" t="b">
        <v>0</v>
      </c>
      <c r="BB478"/>
      <c r="BC478"/>
      <c r="BD478"/>
    </row>
    <row r="479" spans="1:56">
      <c r="A479" s="2" t="s">
        <v>3192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5" t="str">
        <f>_xlfn.XLOOKUP(PROPERTIES[[#This Row],[VEHIDCODE]],CONTROL[VEHIDCODE],CONTROL[ENGLISH])</f>
        <v>BR 150/0 'Sprinter'</v>
      </c>
      <c r="F479" t="s">
        <v>642</v>
      </c>
      <c r="G479" s="45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8">
        <v>36</v>
      </c>
      <c r="R479">
        <v>389</v>
      </c>
      <c r="S479">
        <v>121</v>
      </c>
      <c r="T479" s="25">
        <f>65/2</f>
        <v>32.5</v>
      </c>
      <c r="U479" s="24">
        <f>IFERROR(PROPERTIES[[#This Row],[TE_STARTING_KN]]/(PROPERTIES[[#This Row],[WEIGHT]]*9.81),0)</f>
        <v>9.2026277041567559E-2</v>
      </c>
      <c r="V479" s="24">
        <v>0</v>
      </c>
      <c r="W479" s="21">
        <f>ROUND(IF(IFERROR(PROPERTIES[[#This Row],[TE_COEFFICIENT_CALC]],0)=0,PROPERTIES[[#This Row],[TE_COEFFICIENT_MANUAL]],PROPERTIES[[#This Row],[TE_COEFFICIENT_CALC]]),3)</f>
        <v>9.1999999999999998E-2</v>
      </c>
      <c r="X479" s="9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1">
        <v>80</v>
      </c>
      <c r="Z479" s="7">
        <v>7</v>
      </c>
      <c r="AA479" t="s">
        <v>243</v>
      </c>
      <c r="AB479" t="s">
        <v>238</v>
      </c>
      <c r="AC479" t="s">
        <v>238</v>
      </c>
      <c r="AD479" s="2" t="s">
        <v>238</v>
      </c>
      <c r="AE479" s="2" t="s">
        <v>253</v>
      </c>
      <c r="AF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9" s="2" t="str">
        <f>SUBSTITUTE(SUBSTITUTE(PROPERTIES[[#This Row],[PURCHASECOST_VALUE]], "PURCHASECOST_", ""), "_VALUE", "")</f>
        <v>DMU</v>
      </c>
      <c r="AI479" s="7" t="str" cm="1">
        <f t="array" ref="AI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9" s="43" t="b">
        <v>0</v>
      </c>
      <c r="AK479" s="8" t="b">
        <v>0</v>
      </c>
      <c r="BB479"/>
      <c r="BC479"/>
      <c r="BD479"/>
    </row>
    <row r="480" spans="1:56">
      <c r="A480" s="2" t="s">
        <v>3193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5" t="str">
        <f>_xlfn.XLOOKUP(PROPERTIES[[#This Row],[VEHIDCODE]],CONTROL[VEHIDCODE],CONTROL[ENGLISH])</f>
        <v>BREL 141 'Pacer'</v>
      </c>
      <c r="F480" t="s">
        <v>673</v>
      </c>
      <c r="G480" s="45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8">
        <v>26</v>
      </c>
      <c r="R480">
        <v>200</v>
      </c>
      <c r="S480">
        <v>121</v>
      </c>
      <c r="T480" s="25">
        <f>42/2</f>
        <v>21</v>
      </c>
      <c r="U480" s="24">
        <f>IFERROR(PROPERTIES[[#This Row],[TE_STARTING_KN]]/(PROPERTIES[[#This Row],[WEIGHT]]*9.81),0)</f>
        <v>8.2333568572100682E-2</v>
      </c>
      <c r="V480" s="24">
        <v>0</v>
      </c>
      <c r="W480" s="21">
        <f>ROUND(IF(IFERROR(PROPERTIES[[#This Row],[TE_COEFFICIENT_CALC]],0)=0,PROPERTIES[[#This Row],[TE_COEFFICIENT_MANUAL]],PROPERTIES[[#This Row],[TE_COEFFICIENT_CALC]]),3)</f>
        <v>8.2000000000000003E-2</v>
      </c>
      <c r="X480" s="9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1">
        <v>47</v>
      </c>
      <c r="Z480" s="7">
        <v>6</v>
      </c>
      <c r="AA480" t="s">
        <v>247</v>
      </c>
      <c r="AB480" t="s">
        <v>238</v>
      </c>
      <c r="AC480" t="s">
        <v>238</v>
      </c>
      <c r="AD480" s="2" t="s">
        <v>238</v>
      </c>
      <c r="AE480" s="2" t="s">
        <v>253</v>
      </c>
      <c r="AF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0" s="2" t="str">
        <f>SUBSTITUTE(SUBSTITUTE(PROPERTIES[[#This Row],[PURCHASECOST_VALUE]], "PURCHASECOST_", ""), "_VALUE", "")</f>
        <v>DMU</v>
      </c>
      <c r="AI480" s="7" t="str" cm="1">
        <f t="array" ref="AI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0" s="43" t="b">
        <v>0</v>
      </c>
      <c r="AK480" s="8" t="b">
        <v>0</v>
      </c>
      <c r="BB480"/>
      <c r="BC480"/>
      <c r="BD480"/>
    </row>
    <row r="481" spans="1:56">
      <c r="A481" s="2" t="s">
        <v>3194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5" t="str">
        <f>_xlfn.XLOOKUP(PROPERTIES[[#This Row],[VEHIDCODE]],CONTROL[VEHIDCODE],CONTROL[ENGLISH])</f>
        <v>ABB IC3 [Israel]</v>
      </c>
      <c r="F481" t="s">
        <v>668</v>
      </c>
      <c r="G481" s="45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8">
        <f>INT(97/2)</f>
        <v>48</v>
      </c>
      <c r="R481">
        <f>1600*2</f>
        <v>3200</v>
      </c>
      <c r="S481">
        <v>180</v>
      </c>
      <c r="T481" s="25">
        <f>115/2</f>
        <v>57.5</v>
      </c>
      <c r="U481" s="24">
        <f>IFERROR(PROPERTIES[[#This Row],[TE_STARTING_KN]]/(PROPERTIES[[#This Row],[WEIGHT]]*9.81),0)</f>
        <v>0.12211179068977235</v>
      </c>
      <c r="V481" s="24">
        <v>0</v>
      </c>
      <c r="W481" s="21">
        <f>ROUND(IF(IFERROR(PROPERTIES[[#This Row],[TE_COEFFICIENT_CALC]],0)=0,PROPERTIES[[#This Row],[TE_COEFFICIENT_MANUAL]],PROPERTIES[[#This Row],[TE_COEFFICIENT_CALC]]),3)</f>
        <v>0.122</v>
      </c>
      <c r="X481" s="9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1">
        <v>48</v>
      </c>
      <c r="Z481" s="7">
        <v>8</v>
      </c>
      <c r="AA481" t="s">
        <v>242</v>
      </c>
      <c r="AB481" t="s">
        <v>248</v>
      </c>
      <c r="AC481" t="s">
        <v>238</v>
      </c>
      <c r="AD481" s="2" t="s">
        <v>238</v>
      </c>
      <c r="AE481" s="2" t="s">
        <v>253</v>
      </c>
      <c r="AF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1" s="2" t="str">
        <f>SUBSTITUTE(SUBSTITUTE(PROPERTIES[[#This Row],[PURCHASECOST_VALUE]], "PURCHASECOST_", ""), "_VALUE", "")</f>
        <v>DMU</v>
      </c>
      <c r="AI481" s="7" t="str" cm="1">
        <f t="array" ref="AI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1" s="43" t="b">
        <v>0</v>
      </c>
      <c r="AK481" s="8" t="b">
        <v>0</v>
      </c>
      <c r="BB481"/>
      <c r="BC481"/>
      <c r="BD481"/>
    </row>
    <row r="482" spans="1:56">
      <c r="A482" s="2" t="s">
        <v>3195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5" t="str">
        <f>_xlfn.XLOOKUP(PROPERTIES[[#This Row],[VEHIDCODE]],CONTROL[VEHIDCODE],CONTROL[ENGLISH])</f>
        <v>Comeng 3100</v>
      </c>
      <c r="F482" t="s">
        <v>580</v>
      </c>
      <c r="G482" s="45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8">
        <v>48</v>
      </c>
      <c r="R482">
        <v>2092</v>
      </c>
      <c r="S482">
        <v>90</v>
      </c>
      <c r="T482" s="25">
        <f>110/2</f>
        <v>55</v>
      </c>
      <c r="U482" s="24">
        <f>IFERROR(PROPERTIES[[#This Row],[TE_STARTING_KN]]/(PROPERTIES[[#This Row],[WEIGHT]]*9.81),0)</f>
        <v>0.11680258239891267</v>
      </c>
      <c r="V482" s="24">
        <v>0</v>
      </c>
      <c r="W482" s="21">
        <f>ROUND(IF(IFERROR(PROPERTIES[[#This Row],[TE_COEFFICIENT_CALC]],0)=0,PROPERTIES[[#This Row],[TE_COEFFICIENT_MANUAL]],PROPERTIES[[#This Row],[TE_COEFFICIENT_CALC]]),3)</f>
        <v>0.11700000000000001</v>
      </c>
      <c r="X482" s="9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1">
        <v>53</v>
      </c>
      <c r="Z482" s="7">
        <v>7</v>
      </c>
      <c r="AA482" t="s">
        <v>241</v>
      </c>
      <c r="AB482" t="s">
        <v>238</v>
      </c>
      <c r="AC482" t="s">
        <v>238</v>
      </c>
      <c r="AD482" s="2" t="s">
        <v>238</v>
      </c>
      <c r="AE482" s="2" t="s">
        <v>253</v>
      </c>
      <c r="AF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2" s="2" t="str">
        <f>SUBSTITUTE(SUBSTITUTE(PROPERTIES[[#This Row],[PURCHASECOST_VALUE]], "PURCHASECOST_", ""), "_VALUE", "")</f>
        <v>DMU</v>
      </c>
      <c r="AI482" s="7" t="str" cm="1">
        <f t="array" ref="AI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2" s="43" t="b">
        <v>0</v>
      </c>
      <c r="AK482" s="8" t="b">
        <v>0</v>
      </c>
      <c r="BB482"/>
      <c r="BC482"/>
      <c r="BD482"/>
    </row>
    <row r="483" spans="1:56">
      <c r="A483" s="2" t="s">
        <v>3196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5" t="str">
        <f>_xlfn.XLOOKUP(PROPERTIES[[#This Row],[VEHIDCODE]],CONTROL[VEHIDCODE],CONTROL[ENGLISH])</f>
        <v>ABB Xplorer</v>
      </c>
      <c r="F483" t="s">
        <v>580</v>
      </c>
      <c r="G483" s="45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8">
        <v>57</v>
      </c>
      <c r="R483">
        <f>514*2</f>
        <v>1028</v>
      </c>
      <c r="S483">
        <v>145</v>
      </c>
      <c r="T483" s="25">
        <f>125/2</f>
        <v>62.5</v>
      </c>
      <c r="U483" s="24">
        <f>IFERROR(PROPERTIES[[#This Row],[TE_STARTING_KN]]/(PROPERTIES[[#This Row],[WEIGHT]]*9.81),0)</f>
        <v>0.11177280612336139</v>
      </c>
      <c r="V483" s="24">
        <v>0</v>
      </c>
      <c r="W483" s="21">
        <f>ROUND(IF(IFERROR(PROPERTIES[[#This Row],[TE_COEFFICIENT_CALC]],0)=0,PROPERTIES[[#This Row],[TE_COEFFICIENT_MANUAL]],PROPERTIES[[#This Row],[TE_COEFFICIENT_CALC]]),3)</f>
        <v>0.112</v>
      </c>
      <c r="X483" s="9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1">
        <v>66</v>
      </c>
      <c r="Z483" s="7">
        <v>8</v>
      </c>
      <c r="AA483" t="s">
        <v>241</v>
      </c>
      <c r="AB483" t="s">
        <v>238</v>
      </c>
      <c r="AC483" t="s">
        <v>238</v>
      </c>
      <c r="AD483" s="2" t="s">
        <v>238</v>
      </c>
      <c r="AE483" s="2" t="s">
        <v>253</v>
      </c>
      <c r="AF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3" s="2" t="str">
        <f>SUBSTITUTE(SUBSTITUTE(PROPERTIES[[#This Row],[PURCHASECOST_VALUE]], "PURCHASECOST_", ""), "_VALUE", "")</f>
        <v>DMU</v>
      </c>
      <c r="AI483" s="7" t="str" cm="1">
        <f t="array" ref="AI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3" s="43" t="b">
        <v>0</v>
      </c>
      <c r="AK483" s="8" t="b">
        <v>0</v>
      </c>
      <c r="BB483"/>
      <c r="BC483"/>
      <c r="BD483"/>
    </row>
    <row r="484" spans="1:56">
      <c r="A484" s="2" t="s">
        <v>3197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5" t="str">
        <f>_xlfn.XLOOKUP(PROPERTIES[[#This Row],[VEHIDCODE]],CONTROL[VEHIDCODE],CONTROL[ENGLISH])</f>
        <v>Niigata Transys KiHa 189</v>
      </c>
      <c r="F484" t="s">
        <v>679</v>
      </c>
      <c r="G484" s="45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8">
        <v>49</v>
      </c>
      <c r="R484">
        <v>900</v>
      </c>
      <c r="S484">
        <v>130</v>
      </c>
      <c r="T484" s="25">
        <f>110/2</f>
        <v>55</v>
      </c>
      <c r="U484" s="24">
        <f>IFERROR(PROPERTIES[[#This Row],[TE_STARTING_KN]]/(PROPERTIES[[#This Row],[WEIGHT]]*9.81),0)</f>
        <v>0.11441885622750629</v>
      </c>
      <c r="V484" s="24">
        <v>0</v>
      </c>
      <c r="W484" s="21">
        <f>ROUND(IF(IFERROR(PROPERTIES[[#This Row],[TE_COEFFICIENT_CALC]],0)=0,PROPERTIES[[#This Row],[TE_COEFFICIENT_MANUAL]],PROPERTIES[[#This Row],[TE_COEFFICIENT_CALC]]),3)</f>
        <v>0.114</v>
      </c>
      <c r="X484" s="9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1">
        <v>56</v>
      </c>
      <c r="Z484" s="7">
        <v>7</v>
      </c>
      <c r="AA484" t="s">
        <v>247</v>
      </c>
      <c r="AB484" t="s">
        <v>238</v>
      </c>
      <c r="AC484" t="s">
        <v>238</v>
      </c>
      <c r="AD484" s="2" t="s">
        <v>238</v>
      </c>
      <c r="AE484" s="2" t="s">
        <v>253</v>
      </c>
      <c r="AF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4" s="2" t="str">
        <f>SUBSTITUTE(SUBSTITUTE(PROPERTIES[[#This Row],[PURCHASECOST_VALUE]], "PURCHASECOST_", ""), "_VALUE", "")</f>
        <v>DMU</v>
      </c>
      <c r="AI484" s="7" t="str" cm="1">
        <f t="array" ref="AI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4" s="43" t="b">
        <v>0</v>
      </c>
      <c r="AK484" s="8" t="b">
        <v>0</v>
      </c>
      <c r="BB484"/>
      <c r="BC484"/>
      <c r="BD484"/>
    </row>
    <row r="485" spans="1:56">
      <c r="A485" s="2" t="s">
        <v>3198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5" t="str">
        <f>_xlfn.XLOOKUP(PROPERTIES[[#This Row],[VEHIDCODE]],CONTROL[VEHIDCODE],CONTROL[ENGLISH])</f>
        <v>Integral Coach Factory S11</v>
      </c>
      <c r="F485" t="s">
        <v>695</v>
      </c>
      <c r="G485" s="45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8">
        <v>20</v>
      </c>
      <c r="R485">
        <v>1360</v>
      </c>
      <c r="S485">
        <v>110</v>
      </c>
      <c r="T485" s="25">
        <f>140/2</f>
        <v>70</v>
      </c>
      <c r="U485" s="24">
        <f>IFERROR(PROPERTIES[[#This Row],[TE_STARTING_KN]]/(PROPERTIES[[#This Row],[WEIGHT]]*9.81),0)</f>
        <v>0.3567787971457696</v>
      </c>
      <c r="V485" s="24">
        <v>0</v>
      </c>
      <c r="W485" s="21">
        <f>ROUND(IF(IFERROR(PROPERTIES[[#This Row],[TE_COEFFICIENT_CALC]],0)=0,PROPERTIES[[#This Row],[TE_COEFFICIENT_MANUAL]],PROPERTIES[[#This Row],[TE_COEFFICIENT_CALC]]),3)</f>
        <v>0.35699999999999998</v>
      </c>
      <c r="X485" s="9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1">
        <f>INT(429/6)</f>
        <v>71</v>
      </c>
      <c r="Z485" s="7">
        <v>8</v>
      </c>
      <c r="AA485" t="s">
        <v>247</v>
      </c>
      <c r="AB485" t="s">
        <v>238</v>
      </c>
      <c r="AC485" t="s">
        <v>238</v>
      </c>
      <c r="AD485" s="2" t="s">
        <v>238</v>
      </c>
      <c r="AE485" s="2" t="s">
        <v>253</v>
      </c>
      <c r="AF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5" s="2" t="str">
        <f>SUBSTITUTE(SUBSTITUTE(PROPERTIES[[#This Row],[PURCHASECOST_VALUE]], "PURCHASECOST_", ""), "_VALUE", "")</f>
        <v>DMU</v>
      </c>
      <c r="AI485" s="7" t="str" cm="1">
        <f t="array" ref="AI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5" s="43" t="b">
        <v>0</v>
      </c>
      <c r="AK485" s="8" t="b">
        <v>0</v>
      </c>
      <c r="BB485"/>
      <c r="BC485"/>
      <c r="BD485"/>
    </row>
    <row r="486" spans="1:56">
      <c r="A486" s="2" t="s">
        <v>3199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5" t="str">
        <f>_xlfn.XLOOKUP(PROPERTIES[[#This Row],[VEHIDCODE]],CONTROL[VEHIDCODE],CONTROL[ENGLISH])</f>
        <v>ZOS Vrutky 861</v>
      </c>
      <c r="F486" t="s">
        <v>766</v>
      </c>
      <c r="G486" s="45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7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8">
        <v>60</v>
      </c>
      <c r="R486">
        <v>1580</v>
      </c>
      <c r="S486">
        <v>140</v>
      </c>
      <c r="T486" s="25">
        <f>125/2</f>
        <v>62.5</v>
      </c>
      <c r="U486" s="24">
        <f>IFERROR(PROPERTIES[[#This Row],[TE_STARTING_KN]]/(PROPERTIES[[#This Row],[WEIGHT]]*9.81),0)</f>
        <v>0.10618416581719334</v>
      </c>
      <c r="V486" s="24">
        <v>0</v>
      </c>
      <c r="W486" s="21">
        <f>ROUND(IF(IFERROR(PROPERTIES[[#This Row],[TE_COEFFICIENT_CALC]],0)=0,PROPERTIES[[#This Row],[TE_COEFFICIENT_MANUAL]],PROPERTIES[[#This Row],[TE_COEFFICIENT_CALC]]),3)</f>
        <v>0.106</v>
      </c>
      <c r="X486" s="9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1">
        <f>INT(195/2)</f>
        <v>97</v>
      </c>
      <c r="Z486" s="7">
        <v>7</v>
      </c>
      <c r="AA486" t="s">
        <v>245</v>
      </c>
      <c r="AB486" t="s">
        <v>238</v>
      </c>
      <c r="AC486" t="s">
        <v>238</v>
      </c>
      <c r="AD486" s="2" t="s">
        <v>238</v>
      </c>
      <c r="AE486" s="2" t="s">
        <v>253</v>
      </c>
      <c r="AF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6" s="2" t="str">
        <f>SUBSTITUTE(SUBSTITUTE(PROPERTIES[[#This Row],[PURCHASECOST_VALUE]], "PURCHASECOST_", ""), "_VALUE", "")</f>
        <v>DMU</v>
      </c>
      <c r="AI486" s="7" t="str" cm="1">
        <f t="array" ref="AI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6" s="43" t="b">
        <v>0</v>
      </c>
      <c r="AK486" s="8" t="b">
        <v>0</v>
      </c>
      <c r="BB486"/>
      <c r="BC486"/>
      <c r="BD486"/>
    </row>
    <row r="487" spans="1:56">
      <c r="A487" s="2" t="s">
        <v>3200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5" t="str">
        <f>_xlfn.XLOOKUP(PROPERTIES[[#This Row],[VEHIDCODE]],CONTROL[VEHIDCODE],CONTROL[ENGLISH])</f>
        <v>CAF TLD-500</v>
      </c>
      <c r="F487" t="s">
        <v>612</v>
      </c>
      <c r="G487" s="45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8">
        <v>68</v>
      </c>
      <c r="R487">
        <f>460*2</f>
        <v>920</v>
      </c>
      <c r="S487">
        <v>120</v>
      </c>
      <c r="T487" s="25">
        <f>90/2</f>
        <v>45</v>
      </c>
      <c r="U487" s="24">
        <f>IFERROR(PROPERTIES[[#This Row],[TE_STARTING_KN]]/(PROPERTIES[[#This Row],[WEIGHT]]*9.81),0)</f>
        <v>6.745817593092282E-2</v>
      </c>
      <c r="V487" s="24">
        <v>0</v>
      </c>
      <c r="W487" s="21">
        <f>ROUND(IF(IFERROR(PROPERTIES[[#This Row],[TE_COEFFICIENT_CALC]],0)=0,PROPERTIES[[#This Row],[TE_COEFFICIENT_MANUAL]],PROPERTIES[[#This Row],[TE_COEFFICIENT_CALC]]),3)</f>
        <v>6.7000000000000004E-2</v>
      </c>
      <c r="X487" s="9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1">
        <f>144/2</f>
        <v>72</v>
      </c>
      <c r="Z487" s="7">
        <v>8</v>
      </c>
      <c r="AA487" t="s">
        <v>246</v>
      </c>
      <c r="AB487" t="s">
        <v>238</v>
      </c>
      <c r="AC487" t="s">
        <v>238</v>
      </c>
      <c r="AD487" s="2" t="s">
        <v>238</v>
      </c>
      <c r="AE487" s="2" t="s">
        <v>253</v>
      </c>
      <c r="AF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7" s="2" t="str">
        <f>SUBSTITUTE(SUBSTITUTE(PROPERTIES[[#This Row],[PURCHASECOST_VALUE]], "PURCHASECOST_", ""), "_VALUE", "")</f>
        <v>DMU</v>
      </c>
      <c r="AI487" s="7" t="str" cm="1">
        <f t="array" ref="AI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7" s="43" t="b">
        <v>0</v>
      </c>
      <c r="AK487" s="8" t="b">
        <v>0</v>
      </c>
      <c r="BB487"/>
      <c r="BC487"/>
      <c r="BD487"/>
    </row>
    <row r="488" spans="1:56">
      <c r="A488" s="2" t="s">
        <v>3201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5" t="str">
        <f>_xlfn.XLOOKUP(PROPERTIES[[#This Row],[VEHIDCODE]],CONTROL[VEHIDCODE],CONTROL[ENGLISH])</f>
        <v>Camrail ZE 500</v>
      </c>
      <c r="F488" t="s">
        <v>613</v>
      </c>
      <c r="G488" s="45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8">
        <v>38</v>
      </c>
      <c r="R488">
        <v>376</v>
      </c>
      <c r="S488">
        <v>90</v>
      </c>
      <c r="T488" s="25">
        <f>95/2</f>
        <v>47.5</v>
      </c>
      <c r="U488" s="24">
        <f>IFERROR(PROPERTIES[[#This Row],[TE_STARTING_KN]]/(PROPERTIES[[#This Row],[WEIGHT]]*9.81),0)</f>
        <v>0.127420998980632</v>
      </c>
      <c r="V488" s="24">
        <v>0</v>
      </c>
      <c r="W488" s="21">
        <f>ROUND(IF(IFERROR(PROPERTIES[[#This Row],[TE_COEFFICIENT_CALC]],0)=0,PROPERTIES[[#This Row],[TE_COEFFICIENT_MANUAL]],PROPERTIES[[#This Row],[TE_COEFFICIENT_CALC]]),3)</f>
        <v>0.127</v>
      </c>
      <c r="X488" s="9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1">
        <v>62</v>
      </c>
      <c r="Z488" s="7">
        <v>8</v>
      </c>
      <c r="AA488" t="s">
        <v>242</v>
      </c>
      <c r="AB488" t="s">
        <v>238</v>
      </c>
      <c r="AC488" t="s">
        <v>238</v>
      </c>
      <c r="AD488" s="2" t="s">
        <v>238</v>
      </c>
      <c r="AE488" s="2" t="s">
        <v>253</v>
      </c>
      <c r="AF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8" s="2" t="str">
        <f>SUBSTITUTE(SUBSTITUTE(PROPERTIES[[#This Row],[PURCHASECOST_VALUE]], "PURCHASECOST_", ""), "_VALUE", "")</f>
        <v>DMU</v>
      </c>
      <c r="AI488" s="7" t="str" cm="1">
        <f t="array" ref="AI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8" s="43" t="b">
        <v>0</v>
      </c>
      <c r="AK488" s="8" t="b">
        <v>0</v>
      </c>
      <c r="BB488"/>
      <c r="BC488"/>
      <c r="BD488"/>
    </row>
    <row r="489" spans="1:56">
      <c r="A489" s="2" t="s">
        <v>3202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5" t="str">
        <f>_xlfn.XLOOKUP(PROPERTIES[[#This Row],[VEHIDCODE]],CONTROL[VEHIDCODE],CONTROL[ENGLISH])</f>
        <v>Metro-Cammell 251 'Blue Pullman'</v>
      </c>
      <c r="F489" t="s">
        <v>642</v>
      </c>
      <c r="G489" s="45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8">
        <v>67</v>
      </c>
      <c r="R489">
        <v>2000</v>
      </c>
      <c r="S489">
        <v>145</v>
      </c>
      <c r="T489" s="25">
        <f>125/2</f>
        <v>62.5</v>
      </c>
      <c r="U489" s="24">
        <f>IFERROR(PROPERTIES[[#This Row],[TE_STARTING_KN]]/(PROPERTIES[[#This Row],[WEIGHT]]*9.81),0)</f>
        <v>9.5090297746740313E-2</v>
      </c>
      <c r="V489" s="24">
        <v>0</v>
      </c>
      <c r="W489" s="21">
        <f>ROUND(IF(IFERROR(PROPERTIES[[#This Row],[TE_COEFFICIENT_CALC]],0)=0,PROPERTIES[[#This Row],[TE_COEFFICIENT_MANUAL]],PROPERTIES[[#This Row],[TE_COEFFICIENT_CALC]]),3)</f>
        <v>9.5000000000000001E-2</v>
      </c>
      <c r="X489" s="9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1">
        <v>42</v>
      </c>
      <c r="Z489" s="7">
        <v>7</v>
      </c>
      <c r="AA489" t="s">
        <v>243</v>
      </c>
      <c r="AB489" t="s">
        <v>238</v>
      </c>
      <c r="AC489" t="s">
        <v>238</v>
      </c>
      <c r="AD489" s="2" t="s">
        <v>238</v>
      </c>
      <c r="AE489" s="2" t="s">
        <v>253</v>
      </c>
      <c r="AF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9" s="2" t="str">
        <f>SUBSTITUTE(SUBSTITUTE(PROPERTIES[[#This Row],[PURCHASECOST_VALUE]], "PURCHASECOST_", ""), "_VALUE", "")</f>
        <v>DMU</v>
      </c>
      <c r="AI489" s="7" t="str" cm="1">
        <f t="array" ref="AI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9" s="43" t="b">
        <v>0</v>
      </c>
      <c r="AK489" s="8" t="b">
        <v>0</v>
      </c>
      <c r="BB489"/>
      <c r="BC489"/>
      <c r="BD489"/>
    </row>
    <row r="490" spans="1:56">
      <c r="A490" s="2" t="s">
        <v>3203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5" t="str">
        <f>_xlfn.XLOOKUP(PROPERTIES[[#This Row],[VEHIDCODE]],CONTROL[VEHIDCODE],CONTROL[ENGLISH])</f>
        <v>Comeng ADK</v>
      </c>
      <c r="F490" t="s">
        <v>580</v>
      </c>
      <c r="G490" s="45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8">
        <v>33</v>
      </c>
      <c r="R490">
        <v>416</v>
      </c>
      <c r="S490">
        <v>90</v>
      </c>
      <c r="T490" s="25">
        <f>58/2</f>
        <v>29</v>
      </c>
      <c r="U490" s="24">
        <f>IFERROR(PROPERTIES[[#This Row],[TE_STARTING_KN]]/(PROPERTIES[[#This Row],[WEIGHT]]*9.81),0)</f>
        <v>8.9580823525777648E-2</v>
      </c>
      <c r="V490" s="24">
        <v>0</v>
      </c>
      <c r="W490" s="21">
        <f>ROUND(IF(IFERROR(PROPERTIES[[#This Row],[TE_COEFFICIENT_CALC]],0)=0,PROPERTIES[[#This Row],[TE_COEFFICIENT_MANUAL]],PROPERTIES[[#This Row],[TE_COEFFICIENT_CALC]]),3)</f>
        <v>0.09</v>
      </c>
      <c r="X490" s="9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1">
        <v>74</v>
      </c>
      <c r="Z490" s="7">
        <v>7</v>
      </c>
      <c r="AA490" t="s">
        <v>241</v>
      </c>
      <c r="AB490" t="s">
        <v>238</v>
      </c>
      <c r="AC490" t="s">
        <v>238</v>
      </c>
      <c r="AD490" s="2" t="s">
        <v>238</v>
      </c>
      <c r="AE490" s="2" t="s">
        <v>253</v>
      </c>
      <c r="AF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0" s="2" t="str">
        <f>SUBSTITUTE(SUBSTITUTE(PROPERTIES[[#This Row],[PURCHASECOST_VALUE]], "PURCHASECOST_", ""), "_VALUE", "")</f>
        <v>DMU</v>
      </c>
      <c r="AI490" s="7" t="str" cm="1">
        <f t="array" ref="AI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0" s="43" t="b">
        <v>0</v>
      </c>
      <c r="AK490" s="8" t="b">
        <v>0</v>
      </c>
      <c r="BB490"/>
      <c r="BC490"/>
      <c r="BD490"/>
    </row>
    <row r="491" spans="1:56">
      <c r="A491" s="2" t="s">
        <v>3204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5" t="str">
        <f>_xlfn.XLOOKUP(PROPERTIES[[#This Row],[VEHIDCODE]],CONTROL[VEHIDCODE],CONTROL[ENGLISH])</f>
        <v>ANF X 4630</v>
      </c>
      <c r="F491" t="s">
        <v>641</v>
      </c>
      <c r="G491" s="45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8">
        <v>31</v>
      </c>
      <c r="R491">
        <v>396</v>
      </c>
      <c r="S491">
        <v>120</v>
      </c>
      <c r="T491" s="25">
        <f>85/2</f>
        <v>42.5</v>
      </c>
      <c r="U491" s="24">
        <f>IFERROR(PROPERTIES[[#This Row],[TE_STARTING_KN]]/(PROPERTIES[[#This Row],[WEIGHT]]*9.81),0)</f>
        <v>0.13975206339811252</v>
      </c>
      <c r="V491" s="24">
        <v>0</v>
      </c>
      <c r="W491" s="21">
        <f>ROUND(IF(IFERROR(PROPERTIES[[#This Row],[TE_COEFFICIENT_CALC]],0)=0,PROPERTIES[[#This Row],[TE_COEFFICIENT_MANUAL]],PROPERTIES[[#This Row],[TE_COEFFICIENT_CALC]]),3)</f>
        <v>0.14000000000000001</v>
      </c>
      <c r="X491" s="9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1">
        <v>133</v>
      </c>
      <c r="Z491" s="7">
        <v>8</v>
      </c>
      <c r="AA491" t="s">
        <v>239</v>
      </c>
      <c r="AB491" t="s">
        <v>238</v>
      </c>
      <c r="AC491" t="s">
        <v>238</v>
      </c>
      <c r="AD491" s="2" t="s">
        <v>238</v>
      </c>
      <c r="AE491" s="2" t="s">
        <v>253</v>
      </c>
      <c r="AF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1" s="2" t="str">
        <f>SUBSTITUTE(SUBSTITUTE(PROPERTIES[[#This Row],[PURCHASECOST_VALUE]], "PURCHASECOST_", ""), "_VALUE", "")</f>
        <v>DMU</v>
      </c>
      <c r="AI491" s="7" t="str" cm="1">
        <f t="array" ref="AI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1" s="43" t="b">
        <v>0</v>
      </c>
      <c r="AK491" s="8" t="b">
        <v>0</v>
      </c>
      <c r="BB491"/>
      <c r="BC491"/>
      <c r="BD491"/>
    </row>
    <row r="492" spans="1:56">
      <c r="A492" s="2" t="s">
        <v>3205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5" t="str">
        <f>_xlfn.XLOOKUP(PROPERTIES[[#This Row],[VEHIDCODE]],CONTROL[VEHIDCODE],CONTROL[ENGLISH])</f>
        <v>ANF T 2000</v>
      </c>
      <c r="F492" t="s">
        <v>641</v>
      </c>
      <c r="G492" s="45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8">
        <f>225/2</f>
        <v>112.5</v>
      </c>
      <c r="R492">
        <v>1036</v>
      </c>
      <c r="S492">
        <v>160</v>
      </c>
      <c r="T492" s="25">
        <f>90/2</f>
        <v>45</v>
      </c>
      <c r="U492" s="24">
        <f>IFERROR(PROPERTIES[[#This Row],[TE_STARTING_KN]]/(PROPERTIES[[#This Row],[WEIGHT]]*9.81),0)</f>
        <v>4.0774719673802244E-2</v>
      </c>
      <c r="V492" s="24">
        <v>0</v>
      </c>
      <c r="W492" s="21">
        <f>ROUND(IF(IFERROR(PROPERTIES[[#This Row],[TE_COEFFICIENT_CALC]],0)=0,PROPERTIES[[#This Row],[TE_COEFFICIENT_MANUAL]],PROPERTIES[[#This Row],[TE_COEFFICIENT_CALC]]),3)</f>
        <v>4.1000000000000002E-2</v>
      </c>
      <c r="X492" s="9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1">
        <f>400/5</f>
        <v>80</v>
      </c>
      <c r="Z492" s="7">
        <v>8</v>
      </c>
      <c r="AA492" t="s">
        <v>239</v>
      </c>
      <c r="AB492" t="s">
        <v>238</v>
      </c>
      <c r="AC492" t="s">
        <v>238</v>
      </c>
      <c r="AD492" s="2" t="s">
        <v>238</v>
      </c>
      <c r="AE492" s="2" t="s">
        <v>253</v>
      </c>
      <c r="AF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2" s="2" t="str">
        <f>SUBSTITUTE(SUBSTITUTE(PROPERTIES[[#This Row],[PURCHASECOST_VALUE]], "PURCHASECOST_", ""), "_VALUE", "")</f>
        <v>DMU</v>
      </c>
      <c r="AI492" s="7" t="str" cm="1">
        <f t="array" ref="AI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2" s="43" t="b">
        <v>1</v>
      </c>
      <c r="AK492" s="8" t="b">
        <v>0</v>
      </c>
      <c r="BB492"/>
      <c r="BC492"/>
      <c r="BD492"/>
    </row>
    <row r="493" spans="1:56">
      <c r="A493" s="2" t="s">
        <v>3206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5" t="str">
        <f>_xlfn.XLOOKUP(PROPERTIES[[#This Row],[VEHIDCODE]],CONTROL[VEHIDCODE],CONTROL[ENGLISH])</f>
        <v>Duwag Wadloper</v>
      </c>
      <c r="F493" t="s">
        <v>731</v>
      </c>
      <c r="G493" s="45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8">
        <v>34</v>
      </c>
      <c r="R493">
        <v>562</v>
      </c>
      <c r="S493">
        <v>101</v>
      </c>
      <c r="T493" s="25">
        <f>68/2</f>
        <v>34</v>
      </c>
      <c r="U493" s="24">
        <f>IFERROR(PROPERTIES[[#This Row],[TE_STARTING_KN]]/(PROPERTIES[[#This Row],[WEIGHT]]*9.81),0)</f>
        <v>0.1019367991845056</v>
      </c>
      <c r="V493" s="24">
        <v>0</v>
      </c>
      <c r="W493" s="21">
        <f>ROUND(IF(IFERROR(PROPERTIES[[#This Row],[TE_COEFFICIENT_CALC]],0)=0,PROPERTIES[[#This Row],[TE_COEFFICIENT_MANUAL]],PROPERTIES[[#This Row],[TE_COEFFICIENT_CALC]]),3)</f>
        <v>0.10199999999999999</v>
      </c>
      <c r="X493" s="9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1">
        <v>80</v>
      </c>
      <c r="Z493" s="7">
        <v>8</v>
      </c>
      <c r="AA493" t="s">
        <v>248</v>
      </c>
      <c r="AB493" t="s">
        <v>246</v>
      </c>
      <c r="AC493" t="s">
        <v>238</v>
      </c>
      <c r="AD493" s="2" t="s">
        <v>238</v>
      </c>
      <c r="AE493" s="2" t="s">
        <v>253</v>
      </c>
      <c r="AF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3" s="2" t="str">
        <f>SUBSTITUTE(SUBSTITUTE(PROPERTIES[[#This Row],[PURCHASECOST_VALUE]], "PURCHASECOST_", ""), "_VALUE", "")</f>
        <v>DMU</v>
      </c>
      <c r="AI493" s="7" t="str" cm="1">
        <f t="array" ref="AI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3" s="43" t="b">
        <v>0</v>
      </c>
      <c r="AK493" s="8" t="b">
        <v>0</v>
      </c>
      <c r="BB493"/>
      <c r="BC493"/>
      <c r="BD493"/>
    </row>
    <row r="494" spans="1:56">
      <c r="A494" s="2" t="s">
        <v>3207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5" t="str">
        <f>_xlfn.XLOOKUP(PROPERTIES[[#This Row],[VEHIDCODE]],CONTROL[VEHIDCODE],CONTROL[ENGLISH])</f>
        <v>Duwag 628.2</v>
      </c>
      <c r="F494" t="s">
        <v>623</v>
      </c>
      <c r="G494" s="45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8">
        <v>42</v>
      </c>
      <c r="R494">
        <v>650</v>
      </c>
      <c r="S494">
        <v>120</v>
      </c>
      <c r="T494" s="25">
        <f>95/2</f>
        <v>47.5</v>
      </c>
      <c r="U494" s="24">
        <f>IFERROR(PROPERTIES[[#This Row],[TE_STARTING_KN]]/(PROPERTIES[[#This Row],[WEIGHT]]*9.81),0)</f>
        <v>0.11528566574438133</v>
      </c>
      <c r="V494" s="24">
        <v>0</v>
      </c>
      <c r="W494" s="21">
        <f>ROUND(IF(IFERROR(PROPERTIES[[#This Row],[TE_COEFFICIENT_CALC]],0)=0,PROPERTIES[[#This Row],[TE_COEFFICIENT_MANUAL]],PROPERTIES[[#This Row],[TE_COEFFICIENT_CALC]]),3)</f>
        <v>0.115</v>
      </c>
      <c r="X494" s="9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1">
        <f>INT(136/2)</f>
        <v>68</v>
      </c>
      <c r="Z494" s="7">
        <v>8</v>
      </c>
      <c r="AA494" t="s">
        <v>239</v>
      </c>
      <c r="AB494" t="s">
        <v>245</v>
      </c>
      <c r="AC494" t="s">
        <v>238</v>
      </c>
      <c r="AD494" s="2" t="s">
        <v>238</v>
      </c>
      <c r="AE494" s="2" t="s">
        <v>253</v>
      </c>
      <c r="AF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4" s="2" t="str">
        <f>SUBSTITUTE(SUBSTITUTE(PROPERTIES[[#This Row],[PURCHASECOST_VALUE]], "PURCHASECOST_", ""), "_VALUE", "")</f>
        <v>DMU</v>
      </c>
      <c r="AI494" s="7" t="str" cm="1">
        <f t="array" ref="AI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4" s="43" t="b">
        <v>0</v>
      </c>
      <c r="AK494" s="8" t="b">
        <v>0</v>
      </c>
      <c r="BB494"/>
      <c r="BC494"/>
      <c r="BD494"/>
    </row>
    <row r="495" spans="1:56">
      <c r="A495" s="2" t="s">
        <v>3208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5" t="str">
        <f>_xlfn.XLOOKUP(PROPERTIES[[#This Row],[VEHIDCODE]],CONTROL[VEHIDCODE],CONTROL[ENGLISH])</f>
        <v>CAF ZZ 2200 Autorail</v>
      </c>
      <c r="F495" t="s">
        <v>628</v>
      </c>
      <c r="G495" s="45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8">
        <v>55</v>
      </c>
      <c r="R495">
        <v>1352</v>
      </c>
      <c r="S495">
        <v>160</v>
      </c>
      <c r="T495" s="25">
        <f>140/2</f>
        <v>70</v>
      </c>
      <c r="U495" s="24">
        <f>IFERROR(PROPERTIES[[#This Row],[TE_STARTING_KN]]/(PROPERTIES[[#This Row],[WEIGHT]]*9.81),0)</f>
        <v>0.12973774441664349</v>
      </c>
      <c r="V495" s="24">
        <v>0</v>
      </c>
      <c r="W495" s="21">
        <f>ROUND(IF(IFERROR(PROPERTIES[[#This Row],[TE_COEFFICIENT_CALC]],0)=0,PROPERTIES[[#This Row],[TE_COEFFICIENT_MANUAL]],PROPERTIES[[#This Row],[TE_COEFFICIENT_CALC]]),3)</f>
        <v>0.13</v>
      </c>
      <c r="X495" s="9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1">
        <f>INT(199/2)</f>
        <v>99</v>
      </c>
      <c r="Z495" s="7">
        <v>8</v>
      </c>
      <c r="AA495" t="s">
        <v>242</v>
      </c>
      <c r="AB495" t="s">
        <v>238</v>
      </c>
      <c r="AC495" t="s">
        <v>238</v>
      </c>
      <c r="AD495" s="2" t="s">
        <v>238</v>
      </c>
      <c r="AE495" s="2" t="s">
        <v>253</v>
      </c>
      <c r="AF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5" s="2" t="str">
        <f>SUBSTITUTE(SUBSTITUTE(PROPERTIES[[#This Row],[PURCHASECOST_VALUE]], "PURCHASECOST_", ""), "_VALUE", "")</f>
        <v>DMU</v>
      </c>
      <c r="AI495" s="7" t="str" cm="1">
        <f t="array" ref="AI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5" s="43" t="b">
        <v>0</v>
      </c>
      <c r="AK495" s="8" t="b">
        <v>0</v>
      </c>
      <c r="BB495"/>
      <c r="BC495"/>
      <c r="BD495"/>
    </row>
    <row r="496" spans="1:56">
      <c r="A496" s="2" t="s">
        <v>3209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5" t="str">
        <f>_xlfn.XLOOKUP(PROPERTIES[[#This Row],[VEHIDCODE]],CONTROL[VEHIDCODE],CONTROL[ENGLISH])</f>
        <v>CFD AMT 800</v>
      </c>
      <c r="F496" t="s">
        <v>787</v>
      </c>
      <c r="G496" s="45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8">
        <v>35</v>
      </c>
      <c r="R496">
        <v>1232</v>
      </c>
      <c r="S496">
        <v>100</v>
      </c>
      <c r="T496" s="25">
        <f>135/2</f>
        <v>67.5</v>
      </c>
      <c r="U496" s="24">
        <f>IFERROR(PROPERTIES[[#This Row],[TE_STARTING_KN]]/(PROPERTIES[[#This Row],[WEIGHT]]*9.81),0)</f>
        <v>0.19659239842726081</v>
      </c>
      <c r="V496" s="24">
        <v>0</v>
      </c>
      <c r="W496" s="21">
        <f>ROUND(IF(IFERROR(PROPERTIES[[#This Row],[TE_COEFFICIENT_CALC]],0)=0,PROPERTIES[[#This Row],[TE_COEFFICIENT_MANUAL]],PROPERTIES[[#This Row],[TE_COEFFICIENT_CALC]]),3)</f>
        <v>0.19700000000000001</v>
      </c>
      <c r="X496" s="9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1">
        <v>55</v>
      </c>
      <c r="Z496" s="7">
        <v>8</v>
      </c>
      <c r="AA496" t="s">
        <v>242</v>
      </c>
      <c r="AB496" t="s">
        <v>238</v>
      </c>
      <c r="AC496" t="s">
        <v>238</v>
      </c>
      <c r="AD496" s="2" t="s">
        <v>238</v>
      </c>
      <c r="AE496" s="2" t="s">
        <v>253</v>
      </c>
      <c r="AF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6" s="2" t="str">
        <f>SUBSTITUTE(SUBSTITUTE(PROPERTIES[[#This Row],[PURCHASECOST_VALUE]], "PURCHASECOST_", ""), "_VALUE", "")</f>
        <v>DMU</v>
      </c>
      <c r="AI496" s="7" t="str" cm="1">
        <f t="array" ref="AI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6" s="43" t="b">
        <v>0</v>
      </c>
      <c r="AK496" s="8" t="b">
        <v>0</v>
      </c>
      <c r="BB496"/>
      <c r="BC496"/>
      <c r="BD496"/>
    </row>
    <row r="497" spans="1:56">
      <c r="A497" s="2" t="s">
        <v>3210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5" t="str">
        <f>_xlfn.XLOOKUP(PROPERTIES[[#This Row],[VEHIDCODE]],CONTROL[VEHIDCODE],CONTROL[ENGLISH])</f>
        <v>CNR Tangshan Ghana DEMU</v>
      </c>
      <c r="F497" t="s">
        <v>647</v>
      </c>
      <c r="G497" s="45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8">
        <v>48</v>
      </c>
      <c r="R497">
        <v>1656</v>
      </c>
      <c r="S497">
        <v>90</v>
      </c>
      <c r="T497" s="25">
        <f>145/2</f>
        <v>72.5</v>
      </c>
      <c r="U497" s="24">
        <f>IFERROR(PROPERTIES[[#This Row],[TE_STARTING_KN]]/(PROPERTIES[[#This Row],[WEIGHT]]*9.81),0)</f>
        <v>0.15396704043493034</v>
      </c>
      <c r="V497" s="24">
        <v>0</v>
      </c>
      <c r="W497" s="21">
        <f>ROUND(IF(IFERROR(PROPERTIES[[#This Row],[TE_COEFFICIENT_CALC]],0)=0,PROPERTIES[[#This Row],[TE_COEFFICIENT_MANUAL]],PROPERTIES[[#This Row],[TE_COEFFICIENT_CALC]]),3)</f>
        <v>0.154</v>
      </c>
      <c r="X497" s="9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1">
        <v>102</v>
      </c>
      <c r="Z497" s="7">
        <v>7</v>
      </c>
      <c r="AA497" t="s">
        <v>242</v>
      </c>
      <c r="AB497" t="s">
        <v>238</v>
      </c>
      <c r="AC497" t="s">
        <v>238</v>
      </c>
      <c r="AD497" s="2" t="s">
        <v>238</v>
      </c>
      <c r="AE497" s="2" t="s">
        <v>253</v>
      </c>
      <c r="AF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7" s="2" t="str">
        <f>SUBSTITUTE(SUBSTITUTE(PROPERTIES[[#This Row],[PURCHASECOST_VALUE]], "PURCHASECOST_", ""), "_VALUE", "")</f>
        <v>DMU</v>
      </c>
      <c r="AI497" s="7" t="str" cm="1">
        <f t="array" ref="AI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7" s="43" t="b">
        <v>0</v>
      </c>
      <c r="AK497" s="8" t="b">
        <v>0</v>
      </c>
      <c r="BB497"/>
      <c r="BC497"/>
      <c r="BD497"/>
    </row>
    <row r="498" spans="1:56">
      <c r="A498" s="2" t="s">
        <v>3211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5" t="str">
        <f>_xlfn.XLOOKUP(PROPERTIES[[#This Row],[VEHIDCODE]],CONTROL[VEHIDCODE],CONTROL[ENGLISH])</f>
        <v>Downer EDI/Hitachi Tilt Train</v>
      </c>
      <c r="F498" t="s">
        <v>580</v>
      </c>
      <c r="G498" s="45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8">
        <v>60</v>
      </c>
      <c r="R498">
        <v>7240</v>
      </c>
      <c r="S498">
        <v>160</v>
      </c>
      <c r="T498" s="25">
        <f>185/2</f>
        <v>92.5</v>
      </c>
      <c r="U498" s="24">
        <f>IFERROR(PROPERTIES[[#This Row],[TE_STARTING_KN]]/(PROPERTIES[[#This Row],[WEIGHT]]*9.81),0)</f>
        <v>0.15715256540944614</v>
      </c>
      <c r="V498" s="24">
        <v>0</v>
      </c>
      <c r="W498" s="21">
        <f>ROUND(IF(IFERROR(PROPERTIES[[#This Row],[TE_COEFFICIENT_CALC]],0)=0,PROPERTIES[[#This Row],[TE_COEFFICIENT_MANUAL]],PROPERTIES[[#This Row],[TE_COEFFICIENT_CALC]]),3)</f>
        <v>0.157</v>
      </c>
      <c r="X498" s="9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1">
        <v>39</v>
      </c>
      <c r="Z498" s="7">
        <v>8</v>
      </c>
      <c r="AA498" t="s">
        <v>241</v>
      </c>
      <c r="AB498" t="s">
        <v>238</v>
      </c>
      <c r="AC498" t="s">
        <v>238</v>
      </c>
      <c r="AD498" s="2" t="s">
        <v>238</v>
      </c>
      <c r="AE498" s="2" t="s">
        <v>253</v>
      </c>
      <c r="AF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8" s="2" t="str">
        <f>SUBSTITUTE(SUBSTITUTE(PROPERTIES[[#This Row],[PURCHASECOST_VALUE]], "PURCHASECOST_", ""), "_VALUE", "")</f>
        <v>DMU</v>
      </c>
      <c r="AI498" s="7" t="str" cm="1">
        <f t="array" ref="AI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498" s="43" t="b">
        <v>0</v>
      </c>
      <c r="AK498" s="8" t="b">
        <v>0</v>
      </c>
      <c r="BB498"/>
      <c r="BC498"/>
      <c r="BD498"/>
    </row>
    <row r="499" spans="1:56">
      <c r="A499" s="2" t="s">
        <v>3212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5" t="str">
        <f>_xlfn.XLOOKUP(PROPERTIES[[#This Row],[VEHIDCODE]],CONTROL[VEHIDCODE],CONTROL[ENGLISH])</f>
        <v>Nippon-Sharyo 1000 Series</v>
      </c>
      <c r="F499" t="s">
        <v>604</v>
      </c>
      <c r="G499" s="45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8">
        <v>67.5</v>
      </c>
      <c r="R499">
        <v>1520</v>
      </c>
      <c r="S499">
        <v>128</v>
      </c>
      <c r="T499" s="25">
        <f>130/2</f>
        <v>65</v>
      </c>
      <c r="U499" s="24">
        <f>IFERROR(PROPERTIES[[#This Row],[TE_STARTING_KN]]/(PROPERTIES[[#This Row],[WEIGHT]]*9.81),0)</f>
        <v>9.816136217767206E-2</v>
      </c>
      <c r="V499" s="24">
        <v>0</v>
      </c>
      <c r="W499" s="21">
        <f>ROUND(IF(IFERROR(PROPERTIES[[#This Row],[TE_COEFFICIENT_CALC]],0)=0,PROPERTIES[[#This Row],[TE_COEFFICIENT_MANUAL]],PROPERTIES[[#This Row],[TE_COEFFICIENT_CALC]]),3)</f>
        <v>9.8000000000000004E-2</v>
      </c>
      <c r="X499" s="9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1">
        <v>80</v>
      </c>
      <c r="Z499" s="7">
        <v>8</v>
      </c>
      <c r="AA499" t="s">
        <v>244</v>
      </c>
      <c r="AB499" t="s">
        <v>238</v>
      </c>
      <c r="AC499" t="s">
        <v>238</v>
      </c>
      <c r="AD499" s="2" t="s">
        <v>238</v>
      </c>
      <c r="AE499" s="2" t="s">
        <v>253</v>
      </c>
      <c r="AF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9" s="2" t="str">
        <f>SUBSTITUTE(SUBSTITUTE(PROPERTIES[[#This Row],[PURCHASECOST_VALUE]], "PURCHASECOST_", ""), "_VALUE", "")</f>
        <v>DMU</v>
      </c>
      <c r="AI499" s="7" t="str" cm="1">
        <f t="array" ref="AI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9" s="43" t="b">
        <v>0</v>
      </c>
      <c r="AK499" s="8" t="b">
        <v>0</v>
      </c>
      <c r="BB499"/>
      <c r="BC499"/>
      <c r="BD499"/>
    </row>
    <row r="500" spans="1:56">
      <c r="A500" s="2" t="s">
        <v>3213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5" t="str">
        <f>_xlfn.XLOOKUP(PROPERTIES[[#This Row],[VEHIDCODE]],CONTROL[VEHIDCODE],CONTROL[ENGLISH])</f>
        <v>Materfer CMM 400-2</v>
      </c>
      <c r="F500" t="s">
        <v>577</v>
      </c>
      <c r="G500" s="45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8">
        <v>48</v>
      </c>
      <c r="R500">
        <v>800</v>
      </c>
      <c r="S500">
        <v>120</v>
      </c>
      <c r="T500" s="25">
        <f>85/2</f>
        <v>42.5</v>
      </c>
      <c r="U500" s="24">
        <f>IFERROR(PROPERTIES[[#This Row],[TE_STARTING_KN]]/(PROPERTIES[[#This Row],[WEIGHT]]*9.81),0)</f>
        <v>9.0256540944614341E-2</v>
      </c>
      <c r="V500" s="24">
        <v>0</v>
      </c>
      <c r="W500" s="21">
        <f>ROUND(IF(IFERROR(PROPERTIES[[#This Row],[TE_COEFFICIENT_CALC]],0)=0,PROPERTIES[[#This Row],[TE_COEFFICIENT_MANUAL]],PROPERTIES[[#This Row],[TE_COEFFICIENT_CALC]]),3)</f>
        <v>0.09</v>
      </c>
      <c r="X500" s="9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1">
        <v>70</v>
      </c>
      <c r="Z500" s="7">
        <v>8</v>
      </c>
      <c r="AA500" t="s">
        <v>246</v>
      </c>
      <c r="AB500" t="s">
        <v>238</v>
      </c>
      <c r="AC500" t="s">
        <v>238</v>
      </c>
      <c r="AD500" s="2" t="s">
        <v>238</v>
      </c>
      <c r="AE500" s="2" t="s">
        <v>253</v>
      </c>
      <c r="AF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0" s="2" t="str">
        <f>SUBSTITUTE(SUBSTITUTE(PROPERTIES[[#This Row],[PURCHASECOST_VALUE]], "PURCHASECOST_", ""), "_VALUE", "")</f>
        <v>DMU</v>
      </c>
      <c r="AI500" s="7" t="str" cm="1">
        <f t="array" ref="AI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0" s="43" t="b">
        <v>0</v>
      </c>
      <c r="AK500" s="8" t="b">
        <v>0</v>
      </c>
      <c r="BB500"/>
      <c r="BC500"/>
      <c r="BD500"/>
    </row>
    <row r="501" spans="1:56">
      <c r="A501" s="2" t="s">
        <v>3214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5" t="str">
        <f>_xlfn.XLOOKUP(PROPERTIES[[#This Row],[VEHIDCODE]],CONTROL[VEHIDCODE],CONTROL[ENGLISH])</f>
        <v>Fiat ALn 442-448</v>
      </c>
      <c r="F501" t="s">
        <v>675</v>
      </c>
      <c r="G501" s="45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8">
        <v>52</v>
      </c>
      <c r="R501">
        <v>1250</v>
      </c>
      <c r="S501">
        <v>140</v>
      </c>
      <c r="T501" s="25">
        <f>98/2</f>
        <v>49</v>
      </c>
      <c r="U501" s="24">
        <f>IFERROR(PROPERTIES[[#This Row],[TE_STARTING_KN]]/(PROPERTIES[[#This Row],[WEIGHT]]*9.81),0)</f>
        <v>9.6055830000784131E-2</v>
      </c>
      <c r="V501" s="24">
        <v>0</v>
      </c>
      <c r="W501" s="21">
        <f>ROUND(IF(IFERROR(PROPERTIES[[#This Row],[TE_COEFFICIENT_CALC]],0)=0,PROPERTIES[[#This Row],[TE_COEFFICIENT_MANUAL]],PROPERTIES[[#This Row],[TE_COEFFICIENT_CALC]]),3)</f>
        <v>9.6000000000000002E-2</v>
      </c>
      <c r="X501" s="9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1">
        <v>60</v>
      </c>
      <c r="Z501" s="7">
        <v>8</v>
      </c>
      <c r="AA501" t="s">
        <v>240</v>
      </c>
      <c r="AB501" t="s">
        <v>238</v>
      </c>
      <c r="AC501" t="s">
        <v>238</v>
      </c>
      <c r="AD501" s="2" t="s">
        <v>238</v>
      </c>
      <c r="AE501" s="2" t="s">
        <v>253</v>
      </c>
      <c r="AF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1" s="2" t="str">
        <f>SUBSTITUTE(SUBSTITUTE(PROPERTIES[[#This Row],[PURCHASECOST_VALUE]], "PURCHASECOST_", ""), "_VALUE", "")</f>
        <v>DMU</v>
      </c>
      <c r="AI501" s="7" t="str" cm="1">
        <f t="array" ref="AI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1" s="43" t="b">
        <v>0</v>
      </c>
      <c r="AK501" s="8" t="b">
        <v>0</v>
      </c>
      <c r="BB501"/>
      <c r="BC501"/>
      <c r="BD501"/>
    </row>
    <row r="502" spans="1:56">
      <c r="A502" s="2" t="s">
        <v>3215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5" t="str">
        <f>_xlfn.XLOOKUP(PROPERTIES[[#This Row],[VEHIDCODE]],CONTROL[VEHIDCODE],CONTROL[ENGLISH])</f>
        <v>Sorefame CP 0400</v>
      </c>
      <c r="F502" t="s">
        <v>749</v>
      </c>
      <c r="G502" s="45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8">
        <v>49</v>
      </c>
      <c r="R502">
        <f>520*2</f>
        <v>1040</v>
      </c>
      <c r="S502">
        <v>110</v>
      </c>
      <c r="T502" s="25">
        <f>66/2</f>
        <v>33</v>
      </c>
      <c r="U502" s="24">
        <f>IFERROR(PROPERTIES[[#This Row],[TE_STARTING_KN]]/(PROPERTIES[[#This Row],[WEIGHT]]*9.81),0)</f>
        <v>6.865131373650378E-2</v>
      </c>
      <c r="V502" s="24">
        <v>0</v>
      </c>
      <c r="W502" s="21">
        <f>ROUND(IF(IFERROR(PROPERTIES[[#This Row],[TE_COEFFICIENT_CALC]],0)=0,PROPERTIES[[#This Row],[TE_COEFFICIENT_MANUAL]],PROPERTIES[[#This Row],[TE_COEFFICIENT_CALC]]),3)</f>
        <v>6.9000000000000006E-2</v>
      </c>
      <c r="X502" s="9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0">
        <f>INT(185/2)</f>
        <v>92</v>
      </c>
      <c r="Z502" s="7">
        <v>8</v>
      </c>
      <c r="AA502" t="s">
        <v>240</v>
      </c>
      <c r="AB502" t="s">
        <v>238</v>
      </c>
      <c r="AC502" t="s">
        <v>238</v>
      </c>
      <c r="AD502" s="2" t="s">
        <v>238</v>
      </c>
      <c r="AE502" s="2" t="s">
        <v>253</v>
      </c>
      <c r="AF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2" s="2" t="str">
        <f>SUBSTITUTE(SUBSTITUTE(PROPERTIES[[#This Row],[PURCHASECOST_VALUE]], "PURCHASECOST_", ""), "_VALUE", "")</f>
        <v>DMU</v>
      </c>
      <c r="AI502" s="7" t="str" cm="1">
        <f t="array" ref="AI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2" s="43" t="b">
        <v>0</v>
      </c>
      <c r="AK502" s="8" t="b">
        <v>0</v>
      </c>
      <c r="BB502"/>
      <c r="BC502"/>
      <c r="BD502"/>
    </row>
    <row r="503" spans="1:56">
      <c r="A503" s="2" t="s">
        <v>3216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5" t="str">
        <f>_xlfn.XLOOKUP(PROPERTIES[[#This Row],[VEHIDCODE]],CONTROL[VEHIDCODE],CONTROL[ENGLISH])</f>
        <v>Sorefame CP 0600</v>
      </c>
      <c r="F503" t="s">
        <v>749</v>
      </c>
      <c r="G503" s="45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8">
        <v>53</v>
      </c>
      <c r="R503">
        <f>776*2</f>
        <v>1552</v>
      </c>
      <c r="S503">
        <v>120</v>
      </c>
      <c r="T503" s="25">
        <f>114/2</f>
        <v>57</v>
      </c>
      <c r="U503" s="24">
        <f>IFERROR(PROPERTIES[[#This Row],[TE_STARTING_KN]]/(PROPERTIES[[#This Row],[WEIGHT]]*9.81),0)</f>
        <v>0.10963014251918526</v>
      </c>
      <c r="V503" s="24">
        <v>0</v>
      </c>
      <c r="W503" s="21">
        <f>ROUND(IF(IFERROR(PROPERTIES[[#This Row],[TE_COEFFICIENT_CALC]],0)=0,PROPERTIES[[#This Row],[TE_COEFFICIENT_MANUAL]],PROPERTIES[[#This Row],[TE_COEFFICIENT_CALC]]),3)</f>
        <v>0.11</v>
      </c>
      <c r="X503" s="9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1">
        <f>INT(194/2)</f>
        <v>97</v>
      </c>
      <c r="Z503" s="7">
        <v>8</v>
      </c>
      <c r="AA503" t="s">
        <v>240</v>
      </c>
      <c r="AB503" t="s">
        <v>238</v>
      </c>
      <c r="AC503" t="s">
        <v>238</v>
      </c>
      <c r="AD503" s="2" t="s">
        <v>238</v>
      </c>
      <c r="AE503" s="2" t="s">
        <v>253</v>
      </c>
      <c r="AF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3" s="2" t="str">
        <f>SUBSTITUTE(SUBSTITUTE(PROPERTIES[[#This Row],[PURCHASECOST_VALUE]], "PURCHASECOST_", ""), "_VALUE", "")</f>
        <v>DMU</v>
      </c>
      <c r="AI503" s="7" t="str" cm="1">
        <f t="array" ref="AI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3" s="43" t="b">
        <v>0</v>
      </c>
      <c r="AK503" s="8" t="b">
        <v>0</v>
      </c>
      <c r="BB503"/>
      <c r="BC503"/>
      <c r="BD503"/>
    </row>
    <row r="504" spans="1:56">
      <c r="A504" s="2" t="s">
        <v>3217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5" t="str">
        <f>_xlfn.XLOOKUP(PROPERTIES[[#This Row],[VEHIDCODE]],CONTROL[VEHIDCODE],CONTROL[ENGLISH])</f>
        <v>MTM 2400 'Apollos'</v>
      </c>
      <c r="F504" t="s">
        <v>634</v>
      </c>
      <c r="G504" s="45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8">
        <v>44</v>
      </c>
      <c r="R504">
        <v>720</v>
      </c>
      <c r="S504">
        <v>100</v>
      </c>
      <c r="T504" s="25">
        <v>0</v>
      </c>
      <c r="U504" s="24">
        <f>IFERROR(PROPERTIES[[#This Row],[TE_STARTING_KN]]/(PROPERTIES[[#This Row],[WEIGHT]]*9.81),0)</f>
        <v>0</v>
      </c>
      <c r="V504" s="24">
        <v>0.2</v>
      </c>
      <c r="W504" s="21">
        <f>ROUND(IF(IFERROR(PROPERTIES[[#This Row],[TE_COEFFICIENT_CALC]],0)=0,PROPERTIES[[#This Row],[TE_COEFFICIENT_MANUAL]],PROPERTIES[[#This Row],[TE_COEFFICIENT_CALC]]),3)</f>
        <v>0.2</v>
      </c>
      <c r="X504" s="9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1">
        <f>INT(350/3)</f>
        <v>116</v>
      </c>
      <c r="Z504" s="7">
        <v>7</v>
      </c>
      <c r="AA504" t="s">
        <v>240</v>
      </c>
      <c r="AB504" t="s">
        <v>238</v>
      </c>
      <c r="AC504" t="s">
        <v>238</v>
      </c>
      <c r="AD504" s="2" t="s">
        <v>238</v>
      </c>
      <c r="AE504" s="2" t="s">
        <v>253</v>
      </c>
      <c r="AF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4" s="2" t="str">
        <f>SUBSTITUTE(SUBSTITUTE(PROPERTIES[[#This Row],[PURCHASECOST_VALUE]], "PURCHASECOST_", ""), "_VALUE", "")</f>
        <v>DMU</v>
      </c>
      <c r="AI504" s="7" t="str" cm="1">
        <f t="array" ref="AI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4" s="43" t="b">
        <v>0</v>
      </c>
      <c r="AK504" s="8" t="b">
        <v>0</v>
      </c>
      <c r="BB504"/>
      <c r="BC504"/>
      <c r="BD504"/>
    </row>
    <row r="505" spans="1:56">
      <c r="A505" s="2" t="s">
        <v>3218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5" t="str">
        <f>_xlfn.XLOOKUP(PROPERTIES[[#This Row],[VEHIDCODE]],CONTROL[VEHIDCODE],CONTROL[ENGLISH])</f>
        <v>Windhoff CargoSprinter</v>
      </c>
      <c r="F505" t="s">
        <v>623</v>
      </c>
      <c r="G505" s="45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8">
        <f>111/2</f>
        <v>55.5</v>
      </c>
      <c r="R505">
        <f>355*2</f>
        <v>710</v>
      </c>
      <c r="S505">
        <v>120</v>
      </c>
      <c r="T505" s="25">
        <v>0</v>
      </c>
      <c r="U505" s="24">
        <f>IFERROR(PROPERTIES[[#This Row],[TE_STARTING_KN]]/(PROPERTIES[[#This Row],[WEIGHT]]*9.81),0)</f>
        <v>0</v>
      </c>
      <c r="V505" s="24">
        <v>0.17</v>
      </c>
      <c r="W505" s="21">
        <f>ROUND(IF(IFERROR(PROPERTIES[[#This Row],[TE_COEFFICIENT_CALC]],0)=0,PROPERTIES[[#This Row],[TE_COEFFICIENT_MANUAL]],PROPERTIES[[#This Row],[TE_COEFFICIENT_CALC]]),3)</f>
        <v>0.17</v>
      </c>
      <c r="X505" s="9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1">
        <v>40</v>
      </c>
      <c r="Z505" s="7">
        <v>7</v>
      </c>
      <c r="AA505" t="s">
        <v>239</v>
      </c>
      <c r="AB505" t="s">
        <v>238</v>
      </c>
      <c r="AC505" t="s">
        <v>238</v>
      </c>
      <c r="AD505" s="2" t="s">
        <v>238</v>
      </c>
      <c r="AE505" s="2" t="s">
        <v>253</v>
      </c>
      <c r="AF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5" s="2" t="str">
        <f>SUBSTITUTE(SUBSTITUTE(PROPERTIES[[#This Row],[PURCHASECOST_VALUE]], "PURCHASECOST_", ""), "_VALUE", "")</f>
        <v>DMU</v>
      </c>
      <c r="AI505" s="7" t="str" cm="1">
        <f t="array" ref="AI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505" s="43" t="b">
        <v>0</v>
      </c>
      <c r="AK505" s="8" t="b">
        <v>0</v>
      </c>
      <c r="BB505"/>
      <c r="BC505"/>
      <c r="BD505"/>
    </row>
    <row r="506" spans="1:56">
      <c r="A506" s="2" t="s">
        <v>3219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5" t="str">
        <f>_xlfn.XLOOKUP(PROPERTIES[[#This Row],[VEHIDCODE]],CONTROL[VEHIDCODE],CONTROL[ENGLISH])</f>
        <v>Downer/CRRC/Hitachi 'Waratah'</v>
      </c>
      <c r="F506" t="s">
        <v>580</v>
      </c>
      <c r="G506" s="45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8">
        <v>51</v>
      </c>
      <c r="R506">
        <f>INT(16*245)</f>
        <v>3920</v>
      </c>
      <c r="S506">
        <v>130</v>
      </c>
      <c r="T506" s="25">
        <f>110/2</f>
        <v>55</v>
      </c>
      <c r="U506" s="24">
        <f>IFERROR(PROPERTIES[[#This Row],[TE_STARTING_KN]]/(PROPERTIES[[#This Row],[WEIGHT]]*9.81),0)</f>
        <v>0.10993184225780016</v>
      </c>
      <c r="V506" s="24">
        <v>0</v>
      </c>
      <c r="W506" s="21">
        <f>ROUND(IF(IFERROR(PROPERTIES[[#This Row],[TE_COEFFICIENT_CALC]],0)=0,PROPERTIES[[#This Row],[TE_COEFFICIENT_MANUAL]],PROPERTIES[[#This Row],[TE_COEFFICIENT_CALC]]),3)</f>
        <v>0.11</v>
      </c>
      <c r="X506" s="9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1">
        <v>110</v>
      </c>
      <c r="Z506" s="7">
        <v>8</v>
      </c>
      <c r="AA506" t="s">
        <v>241</v>
      </c>
      <c r="AB506" t="s">
        <v>238</v>
      </c>
      <c r="AC506" t="s">
        <v>238</v>
      </c>
      <c r="AD506" s="2" t="s">
        <v>238</v>
      </c>
      <c r="AE506" s="2" t="s">
        <v>253</v>
      </c>
      <c r="AF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6" s="2" t="str">
        <f>SUBSTITUTE(SUBSTITUTE(PROPERTIES[[#This Row],[PURCHASECOST_VALUE]], "PURCHASECOST_", ""), "_VALUE", "")</f>
        <v>EMU</v>
      </c>
      <c r="AI506" s="7" t="str" cm="1">
        <f t="array" ref="AI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6" s="43" t="b">
        <v>0</v>
      </c>
      <c r="AK506" s="8" t="b">
        <v>0</v>
      </c>
      <c r="BB506"/>
      <c r="BC506"/>
      <c r="BD506"/>
    </row>
    <row r="507" spans="1:56">
      <c r="A507" s="2" t="s">
        <v>3220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5" t="str">
        <f>_xlfn.XLOOKUP(PROPERTIES[[#This Row],[VEHIDCODE]],CONTROL[VEHIDCODE],CONTROL[ENGLISH])</f>
        <v>Frichs &amp; Scandia S-Tog II</v>
      </c>
      <c r="F507" t="s">
        <v>625</v>
      </c>
      <c r="G507" s="45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8">
        <v>43</v>
      </c>
      <c r="R507">
        <v>400</v>
      </c>
      <c r="S507">
        <v>100</v>
      </c>
      <c r="T507" s="25">
        <f>60/2</f>
        <v>30</v>
      </c>
      <c r="U507" s="24">
        <f>IFERROR(PROPERTIES[[#This Row],[TE_STARTING_KN]]/(PROPERTIES[[#This Row],[WEIGHT]]*9.81),0)</f>
        <v>7.1118697105469017E-2</v>
      </c>
      <c r="V507" s="24">
        <v>0</v>
      </c>
      <c r="W507" s="21">
        <f>ROUND(IF(IFERROR(PROPERTIES[[#This Row],[TE_COEFFICIENT_CALC]],0)=0,PROPERTIES[[#This Row],[TE_COEFFICIENT_MANUAL]],PROPERTIES[[#This Row],[TE_COEFFICIENT_CALC]]),3)</f>
        <v>7.0999999999999994E-2</v>
      </c>
      <c r="X507" s="9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1">
        <v>56</v>
      </c>
      <c r="Z507" s="7">
        <v>8</v>
      </c>
      <c r="AA507" t="s">
        <v>243</v>
      </c>
      <c r="AB507" t="s">
        <v>238</v>
      </c>
      <c r="AC507" t="s">
        <v>238</v>
      </c>
      <c r="AD507" s="2" t="s">
        <v>238</v>
      </c>
      <c r="AE507" s="2" t="s">
        <v>253</v>
      </c>
      <c r="AF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7" s="2" t="str">
        <f>SUBSTITUTE(SUBSTITUTE(PROPERTIES[[#This Row],[PURCHASECOST_VALUE]], "PURCHASECOST_", ""), "_VALUE", "")</f>
        <v>EMU</v>
      </c>
      <c r="AI507" s="7" t="str" cm="1">
        <f t="array" ref="AI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7" s="43" t="b">
        <v>0</v>
      </c>
      <c r="AK507" s="8" t="b">
        <v>0</v>
      </c>
      <c r="BB507"/>
      <c r="BC507"/>
      <c r="BD507"/>
    </row>
    <row r="508" spans="1:56">
      <c r="A508" s="2" t="s">
        <v>3221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5" t="str">
        <f>_xlfn.XLOOKUP(PROPERTIES[[#This Row],[VEHIDCODE]],CONTROL[VEHIDCODE],CONTROL[ENGLISH])</f>
        <v>Alsthom S-Tog IV</v>
      </c>
      <c r="F508" t="s">
        <v>625</v>
      </c>
      <c r="G508" s="45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8">
        <f>63/2</f>
        <v>31.5</v>
      </c>
      <c r="R508">
        <v>1150</v>
      </c>
      <c r="S508">
        <v>120</v>
      </c>
      <c r="T508" s="25">
        <f>75/2</f>
        <v>37.5</v>
      </c>
      <c r="U508" s="24">
        <f>IFERROR(PROPERTIES[[#This Row],[TE_STARTING_KN]]/(PROPERTIES[[#This Row],[WEIGHT]]*9.81),0)</f>
        <v>0.12135333236250666</v>
      </c>
      <c r="V508" s="24">
        <v>0</v>
      </c>
      <c r="W508" s="21">
        <f>ROUND(IF(IFERROR(PROPERTIES[[#This Row],[TE_COEFFICIENT_CALC]],0)=0,PROPERTIES[[#This Row],[TE_COEFFICIENT_MANUAL]],PROPERTIES[[#This Row],[TE_COEFFICIENT_CALC]]),3)</f>
        <v>0.121</v>
      </c>
      <c r="X508" s="9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1">
        <v>90</v>
      </c>
      <c r="Z508" s="7">
        <v>5</v>
      </c>
      <c r="AA508" t="s">
        <v>243</v>
      </c>
      <c r="AB508" t="s">
        <v>238</v>
      </c>
      <c r="AC508" t="s">
        <v>238</v>
      </c>
      <c r="AD508" s="2" t="s">
        <v>238</v>
      </c>
      <c r="AE508" s="2" t="s">
        <v>253</v>
      </c>
      <c r="AF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8" s="2" t="str">
        <f>SUBSTITUTE(SUBSTITUTE(PROPERTIES[[#This Row],[PURCHASECOST_VALUE]], "PURCHASECOST_", ""), "_VALUE", "")</f>
        <v>EMU</v>
      </c>
      <c r="AI508" s="7" t="str" cm="1">
        <f t="array" ref="AI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8" s="43" t="b">
        <v>0</v>
      </c>
      <c r="AK508" s="8" t="b">
        <v>0</v>
      </c>
      <c r="BB508"/>
      <c r="BC508"/>
      <c r="BD508"/>
    </row>
    <row r="509" spans="1:56">
      <c r="A509" s="2" t="s">
        <v>3222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5" t="str">
        <f>_xlfn.XLOOKUP(PROPERTIES[[#This Row],[VEHIDCODE]],CONTROL[VEHIDCODE],CONTROL[ENGLISH])</f>
        <v>TIBB ECD 21-30</v>
      </c>
      <c r="F509" t="s">
        <v>675</v>
      </c>
      <c r="G509" s="45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8">
        <f>74/2</f>
        <v>37</v>
      </c>
      <c r="R509">
        <v>650</v>
      </c>
      <c r="S509">
        <v>72</v>
      </c>
      <c r="T509" s="25">
        <f>60/2</f>
        <v>30</v>
      </c>
      <c r="U509" s="24">
        <f>IFERROR(PROPERTIES[[#This Row],[TE_STARTING_KN]]/(PROPERTIES[[#This Row],[WEIGHT]]*9.81),0)</f>
        <v>8.2651458798247784E-2</v>
      </c>
      <c r="V509" s="24">
        <v>0</v>
      </c>
      <c r="W509" s="21">
        <f>ROUND(IF(IFERROR(PROPERTIES[[#This Row],[TE_COEFFICIENT_CALC]],0)=0,PROPERTIES[[#This Row],[TE_COEFFICIENT_MANUAL]],PROPERTIES[[#This Row],[TE_COEFFICIENT_CALC]]),3)</f>
        <v>8.3000000000000004E-2</v>
      </c>
      <c r="X509" s="9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1">
        <v>50</v>
      </c>
      <c r="Z509" s="7">
        <v>8</v>
      </c>
      <c r="AA509" t="s">
        <v>240</v>
      </c>
      <c r="AB509" t="s">
        <v>238</v>
      </c>
      <c r="AC509" t="s">
        <v>238</v>
      </c>
      <c r="AD509" s="2" t="s">
        <v>238</v>
      </c>
      <c r="AE509" s="2" t="s">
        <v>253</v>
      </c>
      <c r="AF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9" s="2" t="str">
        <f>SUBSTITUTE(SUBSTITUTE(PROPERTIES[[#This Row],[PURCHASECOST_VALUE]], "PURCHASECOST_", ""), "_VALUE", "")</f>
        <v>EMU</v>
      </c>
      <c r="AI509" s="7" t="str" cm="1">
        <f t="array" ref="AI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9" s="43" t="b">
        <v>0</v>
      </c>
      <c r="AK509" s="8" t="b">
        <v>0</v>
      </c>
      <c r="BB509"/>
      <c r="BC509"/>
      <c r="BD509"/>
    </row>
    <row r="510" spans="1:56">
      <c r="A510" s="2" t="s">
        <v>3223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5" t="str">
        <f>_xlfn.XLOOKUP(PROPERTIES[[#This Row],[VEHIDCODE]],CONTROL[VEHIDCODE],CONTROL[ENGLISH])</f>
        <v>Werkspoor Mat'24</v>
      </c>
      <c r="F510" t="s">
        <v>731</v>
      </c>
      <c r="G510" s="45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8">
        <v>55</v>
      </c>
      <c r="R510">
        <v>888</v>
      </c>
      <c r="S510">
        <v>100</v>
      </c>
      <c r="T510" s="25">
        <f>120/2</f>
        <v>60</v>
      </c>
      <c r="U510" s="24">
        <f>IFERROR(PROPERTIES[[#This Row],[TE_STARTING_KN]]/(PROPERTIES[[#This Row],[WEIGHT]]*9.81),0)</f>
        <v>0.11120378092855156</v>
      </c>
      <c r="V510" s="24">
        <v>0</v>
      </c>
      <c r="W510" s="21">
        <f>ROUND(IF(IFERROR(PROPERTIES[[#This Row],[TE_COEFFICIENT_CALC]],0)=0,PROPERTIES[[#This Row],[TE_COEFFICIENT_MANUAL]],PROPERTIES[[#This Row],[TE_COEFFICIENT_CALC]]),3)</f>
        <v>0.111</v>
      </c>
      <c r="X510" s="9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1">
        <v>88</v>
      </c>
      <c r="Z510" s="7">
        <v>8</v>
      </c>
      <c r="AA510" t="s">
        <v>239</v>
      </c>
      <c r="AB510" t="s">
        <v>238</v>
      </c>
      <c r="AC510" t="s">
        <v>238</v>
      </c>
      <c r="AD510" s="2" t="s">
        <v>238</v>
      </c>
      <c r="AE510" s="2" t="s">
        <v>253</v>
      </c>
      <c r="AF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0" s="2" t="str">
        <f>SUBSTITUTE(SUBSTITUTE(PROPERTIES[[#This Row],[PURCHASECOST_VALUE]], "PURCHASECOST_", ""), "_VALUE", "")</f>
        <v>EMU</v>
      </c>
      <c r="AI510" s="7" t="str" cm="1">
        <f t="array" ref="AI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0" s="43" t="b">
        <v>0</v>
      </c>
      <c r="AK510" s="8" t="b">
        <v>0</v>
      </c>
      <c r="BB510"/>
      <c r="BC510"/>
      <c r="BD510"/>
    </row>
    <row r="511" spans="1:56">
      <c r="A511" s="2" t="s">
        <v>3224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5" t="str">
        <f>_xlfn.XLOOKUP(PROPERTIES[[#This Row],[VEHIDCODE]],CONTROL[VEHIDCODE],CONTROL[ENGLISH])</f>
        <v>Werkspoor Mat'36</v>
      </c>
      <c r="F511" t="s">
        <v>731</v>
      </c>
      <c r="G511" s="45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8">
        <f>85/2</f>
        <v>42.5</v>
      </c>
      <c r="R511">
        <v>1032</v>
      </c>
      <c r="S511">
        <v>125</v>
      </c>
      <c r="T511" s="25">
        <f>85/2</f>
        <v>42.5</v>
      </c>
      <c r="U511" s="24">
        <f>IFERROR(PROPERTIES[[#This Row],[TE_STARTING_KN]]/(PROPERTIES[[#This Row],[WEIGHT]]*9.81),0)</f>
        <v>0.1019367991845056</v>
      </c>
      <c r="V511" s="24">
        <v>0</v>
      </c>
      <c r="W511" s="21">
        <f>ROUND(IF(IFERROR(PROPERTIES[[#This Row],[TE_COEFFICIENT_CALC]],0)=0,PROPERTIES[[#This Row],[TE_COEFFICIENT_MANUAL]],PROPERTIES[[#This Row],[TE_COEFFICIENT_CALC]]),3)</f>
        <v>0.10199999999999999</v>
      </c>
      <c r="X511" s="9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1">
        <v>72</v>
      </c>
      <c r="Z511" s="7">
        <v>8</v>
      </c>
      <c r="AA511" t="s">
        <v>239</v>
      </c>
      <c r="AB511" t="s">
        <v>238</v>
      </c>
      <c r="AC511" t="s">
        <v>238</v>
      </c>
      <c r="AD511" s="2" t="s">
        <v>238</v>
      </c>
      <c r="AE511" s="2" t="s">
        <v>253</v>
      </c>
      <c r="AF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1" s="2" t="str">
        <f>SUBSTITUTE(SUBSTITUTE(PROPERTIES[[#This Row],[PURCHASECOST_VALUE]], "PURCHASECOST_", ""), "_VALUE", "")</f>
        <v>EMU</v>
      </c>
      <c r="AI511" s="7" t="str" cm="1">
        <f t="array" ref="AI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1" s="43" t="b">
        <v>0</v>
      </c>
      <c r="AK511" s="8" t="b">
        <v>0</v>
      </c>
      <c r="BB511"/>
      <c r="BC511"/>
      <c r="BD511"/>
    </row>
    <row r="512" spans="1:56">
      <c r="A512" s="2" t="s">
        <v>3225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5" t="str">
        <f>_xlfn.XLOOKUP(PROPERTIES[[#This Row],[VEHIDCODE]],CONTROL[VEHIDCODE],CONTROL[ENGLISH])</f>
        <v>Werkspoor Mat'54</v>
      </c>
      <c r="F512" t="s">
        <v>731</v>
      </c>
      <c r="G512" s="45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8">
        <f>109/2</f>
        <v>54.5</v>
      </c>
      <c r="R512">
        <v>910</v>
      </c>
      <c r="S512">
        <v>140</v>
      </c>
      <c r="T512" s="25">
        <f>110/2</f>
        <v>55</v>
      </c>
      <c r="U512" s="24">
        <f>IFERROR(PROPERTIES[[#This Row],[TE_STARTING_KN]]/(PROPERTIES[[#This Row],[WEIGHT]]*9.81),0)</f>
        <v>0.10287199917702401</v>
      </c>
      <c r="V512" s="24">
        <v>0</v>
      </c>
      <c r="W512" s="21">
        <f>ROUND(IF(IFERROR(PROPERTIES[[#This Row],[TE_COEFFICIENT_CALC]],0)=0,PROPERTIES[[#This Row],[TE_COEFFICIENT_MANUAL]],PROPERTIES[[#This Row],[TE_COEFFICIENT_CALC]]),3)</f>
        <v>0.10299999999999999</v>
      </c>
      <c r="X512" s="9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1">
        <v>56</v>
      </c>
      <c r="Z512" s="7">
        <v>8</v>
      </c>
      <c r="AA512" t="s">
        <v>239</v>
      </c>
      <c r="AB512" t="s">
        <v>238</v>
      </c>
      <c r="AC512" t="s">
        <v>238</v>
      </c>
      <c r="AD512" s="2" t="s">
        <v>238</v>
      </c>
      <c r="AE512" s="2" t="s">
        <v>253</v>
      </c>
      <c r="AF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2" s="2" t="str">
        <f>SUBSTITUTE(SUBSTITUTE(PROPERTIES[[#This Row],[PURCHASECOST_VALUE]], "PURCHASECOST_", ""), "_VALUE", "")</f>
        <v>EMU</v>
      </c>
      <c r="AI512" s="7" t="str" cm="1">
        <f t="array" ref="AI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2" s="43" t="b">
        <v>0</v>
      </c>
      <c r="AK512" s="8" t="b">
        <v>0</v>
      </c>
      <c r="BB512"/>
      <c r="BC512"/>
      <c r="BD512"/>
    </row>
    <row r="513" spans="1:56">
      <c r="A513" s="2" t="s">
        <v>3226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5" t="str">
        <f>_xlfn.XLOOKUP(PROPERTIES[[#This Row],[VEHIDCODE]],CONTROL[VEHIDCODE],CONTROL[ENGLISH])</f>
        <v>Talbot Plan Y</v>
      </c>
      <c r="F513" t="s">
        <v>731</v>
      </c>
      <c r="G513" s="45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8">
        <v>53</v>
      </c>
      <c r="R513">
        <v>1720</v>
      </c>
      <c r="S513">
        <v>125</v>
      </c>
      <c r="T513" s="25">
        <f>160/2</f>
        <v>80</v>
      </c>
      <c r="U513" s="24">
        <f>IFERROR(PROPERTIES[[#This Row],[TE_STARTING_KN]]/(PROPERTIES[[#This Row],[WEIGHT]]*9.81),0)</f>
        <v>0.15386686669359334</v>
      </c>
      <c r="V513" s="24">
        <v>0</v>
      </c>
      <c r="W513" s="21">
        <f>ROUND(IF(IFERROR(PROPERTIES[[#This Row],[TE_COEFFICIENT_CALC]],0)=0,PROPERTIES[[#This Row],[TE_COEFFICIENT_MANUAL]],PROPERTIES[[#This Row],[TE_COEFFICIENT_CALC]]),3)</f>
        <v>0.154</v>
      </c>
      <c r="X513" s="9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1">
        <v>77</v>
      </c>
      <c r="Z513" s="7">
        <v>8</v>
      </c>
      <c r="AA513" t="s">
        <v>239</v>
      </c>
      <c r="AB513" t="s">
        <v>238</v>
      </c>
      <c r="AC513" t="s">
        <v>238</v>
      </c>
      <c r="AD513" s="2" t="s">
        <v>238</v>
      </c>
      <c r="AE513" s="2" t="s">
        <v>253</v>
      </c>
      <c r="AF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3" s="2" t="str">
        <f>SUBSTITUTE(SUBSTITUTE(PROPERTIES[[#This Row],[PURCHASECOST_VALUE]], "PURCHASECOST_", ""), "_VALUE", "")</f>
        <v>EMU</v>
      </c>
      <c r="AI513" s="7" t="str" cm="1">
        <f t="array" ref="AI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3" s="43" t="b">
        <v>0</v>
      </c>
      <c r="AK513" s="8" t="b">
        <v>0</v>
      </c>
      <c r="BB513"/>
      <c r="BC513"/>
      <c r="BD513"/>
    </row>
    <row r="514" spans="1:56">
      <c r="A514" s="2" t="s">
        <v>3227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5" t="str">
        <f>_xlfn.XLOOKUP(PROPERTIES[[#This Row],[VEHIDCODE]],CONTROL[VEHIDCODE],CONTROL[ENGLISH])</f>
        <v>Talbot ICM 4000</v>
      </c>
      <c r="F514" t="s">
        <v>731</v>
      </c>
      <c r="G514" s="45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8">
        <f>144/2</f>
        <v>72</v>
      </c>
      <c r="R514">
        <v>1720</v>
      </c>
      <c r="S514">
        <v>140</v>
      </c>
      <c r="T514" s="25">
        <f>100/2</f>
        <v>50</v>
      </c>
      <c r="U514" s="24">
        <f>IFERROR(PROPERTIES[[#This Row],[TE_STARTING_KN]]/(PROPERTIES[[#This Row],[WEIGHT]]*9.81),0)</f>
        <v>7.0789443878128883E-2</v>
      </c>
      <c r="V514" s="24">
        <v>0</v>
      </c>
      <c r="W514" s="21">
        <f>ROUND(IF(IFERROR(PROPERTIES[[#This Row],[TE_COEFFICIENT_CALC]],0)=0,PROPERTIES[[#This Row],[TE_COEFFICIENT_MANUAL]],PROPERTIES[[#This Row],[TE_COEFFICIENT_CALC]]),3)</f>
        <v>7.0999999999999994E-2</v>
      </c>
      <c r="X514" s="9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1">
        <f>INT(205/2)</f>
        <v>102</v>
      </c>
      <c r="Z514" s="7">
        <v>8</v>
      </c>
      <c r="AA514" t="s">
        <v>239</v>
      </c>
      <c r="AB514" t="s">
        <v>238</v>
      </c>
      <c r="AC514" t="s">
        <v>238</v>
      </c>
      <c r="AD514" s="2" t="s">
        <v>238</v>
      </c>
      <c r="AE514" s="2" t="s">
        <v>253</v>
      </c>
      <c r="AF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4" s="2" t="str">
        <f>SUBSTITUTE(SUBSTITUTE(PROPERTIES[[#This Row],[PURCHASECOST_VALUE]], "PURCHASECOST_", ""), "_VALUE", "")</f>
        <v>EMU</v>
      </c>
      <c r="AI514" s="7" t="str" cm="1">
        <f t="array" ref="AI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4" s="43" t="b">
        <v>0</v>
      </c>
      <c r="AK514" s="8" t="b">
        <v>0</v>
      </c>
      <c r="BB514"/>
      <c r="BC514"/>
      <c r="BD514"/>
    </row>
    <row r="515" spans="1:56">
      <c r="A515" s="2" t="s">
        <v>3228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5" t="str">
        <f>_xlfn.XLOOKUP(PROPERTIES[[#This Row],[VEHIDCODE]],CONTROL[VEHIDCODE],CONTROL[ENGLISH])</f>
        <v>Talbot DD-IRM 'VIRM' 8000</v>
      </c>
      <c r="F515" t="s">
        <v>731</v>
      </c>
      <c r="G515" s="45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8">
        <f>104/2</f>
        <v>52</v>
      </c>
      <c r="R515">
        <v>1720</v>
      </c>
      <c r="S515">
        <v>140</v>
      </c>
      <c r="T515" s="25">
        <f>105/2</f>
        <v>52.5</v>
      </c>
      <c r="U515" s="24">
        <f>IFERROR(PROPERTIES[[#This Row],[TE_STARTING_KN]]/(PROPERTIES[[#This Row],[WEIGHT]]*9.81),0)</f>
        <v>0.10291696071512585</v>
      </c>
      <c r="V515" s="24">
        <v>0</v>
      </c>
      <c r="W515" s="21">
        <f>ROUND(IF(IFERROR(PROPERTIES[[#This Row],[TE_COEFFICIENT_CALC]],0)=0,PROPERTIES[[#This Row],[TE_COEFFICIENT_MANUAL]],PROPERTIES[[#This Row],[TE_COEFFICIENT_CALC]]),3)</f>
        <v>0.10299999999999999</v>
      </c>
      <c r="X515" s="9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0">
        <f>INT((129+442)/6)</f>
        <v>95</v>
      </c>
      <c r="Z515" s="7">
        <v>8</v>
      </c>
      <c r="AA515" t="s">
        <v>239</v>
      </c>
      <c r="AB515" t="s">
        <v>238</v>
      </c>
      <c r="AC515" t="s">
        <v>238</v>
      </c>
      <c r="AD515" s="2" t="s">
        <v>238</v>
      </c>
      <c r="AE515" s="2" t="s">
        <v>253</v>
      </c>
      <c r="AF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5" s="2" t="str">
        <f>SUBSTITUTE(SUBSTITUTE(PROPERTIES[[#This Row],[PURCHASECOST_VALUE]], "PURCHASECOST_", ""), "_VALUE", "")</f>
        <v>EMU</v>
      </c>
      <c r="AI515" s="7" t="str" cm="1">
        <f t="array" ref="AI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5" s="43" t="b">
        <v>0</v>
      </c>
      <c r="AK515" s="8" t="b">
        <v>0</v>
      </c>
      <c r="BB515"/>
      <c r="BC515"/>
      <c r="BD515"/>
    </row>
    <row r="516" spans="1:56">
      <c r="A516" s="2" t="s">
        <v>3229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5" t="str">
        <f>_xlfn.XLOOKUP(PROPERTIES[[#This Row],[VEHIDCODE]],CONTROL[VEHIDCODE],CONTROL[ENGLISH])</f>
        <v>De Dietrich/Adtranz mDDm 390</v>
      </c>
      <c r="F516" t="s">
        <v>731</v>
      </c>
      <c r="G516" s="45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8">
        <f>84/2</f>
        <v>42</v>
      </c>
      <c r="R516">
        <v>3219</v>
      </c>
      <c r="S516">
        <v>160</v>
      </c>
      <c r="T516" s="25">
        <f>200/2</f>
        <v>100</v>
      </c>
      <c r="U516" s="24">
        <f>IFERROR(PROPERTIES[[#This Row],[TE_STARTING_KN]]/(PROPERTIES[[#This Row],[WEIGHT]]*9.81),0)</f>
        <v>0.24270666472501332</v>
      </c>
      <c r="V516" s="24">
        <v>0</v>
      </c>
      <c r="W516" s="21">
        <f>ROUND(IF(IFERROR(PROPERTIES[[#This Row],[TE_COEFFICIENT_CALC]],0)=0,PROPERTIES[[#This Row],[TE_COEFFICIENT_MANUAL]],PROPERTIES[[#This Row],[TE_COEFFICIENT_CALC]]),3)</f>
        <v>0.24299999999999999</v>
      </c>
      <c r="X516" s="9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1">
        <v>140</v>
      </c>
      <c r="Z516" s="7">
        <v>8</v>
      </c>
      <c r="AA516" t="s">
        <v>239</v>
      </c>
      <c r="AB516" t="s">
        <v>238</v>
      </c>
      <c r="AC516" t="s">
        <v>238</v>
      </c>
      <c r="AD516" s="2" t="s">
        <v>238</v>
      </c>
      <c r="AE516" s="2" t="s">
        <v>253</v>
      </c>
      <c r="AF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6" s="2" t="str">
        <f>SUBSTITUTE(SUBSTITUTE(PROPERTIES[[#This Row],[PURCHASECOST_VALUE]], "PURCHASECOST_", ""), "_VALUE", "")</f>
        <v>EMU</v>
      </c>
      <c r="AI516" s="7" t="str" cm="1">
        <f t="array" ref="AI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6" s="43" t="b">
        <v>0</v>
      </c>
      <c r="AK516" s="8" t="b">
        <v>0</v>
      </c>
      <c r="BB516"/>
      <c r="BC516"/>
      <c r="BD516"/>
    </row>
    <row r="517" spans="1:56">
      <c r="A517" s="2" t="s">
        <v>3230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5" t="str">
        <f>_xlfn.XLOOKUP(PROPERTIES[[#This Row],[VEHIDCODE]],CONTROL[VEHIDCODE],CONTROL[ENGLISH])</f>
        <v>ET 165</v>
      </c>
      <c r="F517" t="s">
        <v>744</v>
      </c>
      <c r="G517" s="45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8">
        <v>38</v>
      </c>
      <c r="R517">
        <v>413</v>
      </c>
      <c r="S517">
        <v>80</v>
      </c>
      <c r="T517" s="25">
        <f>80/2</f>
        <v>40</v>
      </c>
      <c r="U517" s="24">
        <f>IFERROR(PROPERTIES[[#This Row],[TE_STARTING_KN]]/(PROPERTIES[[#This Row],[WEIGHT]]*9.81),0)</f>
        <v>0.10730189387842695</v>
      </c>
      <c r="V517" s="24">
        <v>0</v>
      </c>
      <c r="W517" s="21">
        <f>ROUND(IF(IFERROR(PROPERTIES[[#This Row],[TE_COEFFICIENT_CALC]],0)=0,PROPERTIES[[#This Row],[TE_COEFFICIENT_MANUAL]],PROPERTIES[[#This Row],[TE_COEFFICIENT_CALC]]),3)</f>
        <v>0.107</v>
      </c>
      <c r="X517" s="9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1">
        <f>INT(119/2)</f>
        <v>59</v>
      </c>
      <c r="Z517" s="7">
        <v>8</v>
      </c>
      <c r="AA517" t="s">
        <v>2013</v>
      </c>
      <c r="AB517" t="s">
        <v>239</v>
      </c>
      <c r="AC517" t="s">
        <v>238</v>
      </c>
      <c r="AD517" s="2" t="s">
        <v>238</v>
      </c>
      <c r="AE517" s="2" t="s">
        <v>253</v>
      </c>
      <c r="AF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7" s="2" t="str">
        <f>SUBSTITUTE(SUBSTITUTE(PROPERTIES[[#This Row],[PURCHASECOST_VALUE]], "PURCHASECOST_", ""), "_VALUE", "")</f>
        <v>EMU</v>
      </c>
      <c r="AI517" s="7" t="str" cm="1">
        <f t="array" ref="AI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7" s="43" t="b">
        <v>0</v>
      </c>
      <c r="AK517" s="8" t="b">
        <v>0</v>
      </c>
      <c r="BB517"/>
      <c r="BC517"/>
      <c r="BD517"/>
    </row>
    <row r="518" spans="1:56">
      <c r="A518" s="2" t="s">
        <v>3231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5" t="str">
        <f>_xlfn.XLOOKUP(PROPERTIES[[#This Row],[VEHIDCODE]],CONTROL[VEHIDCODE],CONTROL[ENGLISH])</f>
        <v>Breda ETR.200</v>
      </c>
      <c r="F518" t="s">
        <v>675</v>
      </c>
      <c r="G518" s="45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8">
        <f>116.8/3</f>
        <v>38.93333333333333</v>
      </c>
      <c r="R518">
        <f>INT(1408*2/3)</f>
        <v>938</v>
      </c>
      <c r="S518">
        <v>160</v>
      </c>
      <c r="T518" s="25">
        <f>50/2</f>
        <v>25</v>
      </c>
      <c r="U518" s="24">
        <f>IFERROR(PROPERTIES[[#This Row],[TE_STARTING_KN]]/(PROPERTIES[[#This Row],[WEIGHT]]*9.81),0)</f>
        <v>6.5455992627036996E-2</v>
      </c>
      <c r="V518" s="24">
        <v>0</v>
      </c>
      <c r="W518" s="21">
        <f>ROUND(IF(IFERROR(PROPERTIES[[#This Row],[TE_COEFFICIENT_CALC]],0)=0,PROPERTIES[[#This Row],[TE_COEFFICIENT_MANUAL]],PROPERTIES[[#This Row],[TE_COEFFICIENT_CALC]]),3)</f>
        <v>6.5000000000000002E-2</v>
      </c>
      <c r="X518" s="9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1">
        <f>INT(104/2)</f>
        <v>52</v>
      </c>
      <c r="Z518" s="7">
        <v>8</v>
      </c>
      <c r="AA518" t="s">
        <v>240</v>
      </c>
      <c r="AB518" t="s">
        <v>238</v>
      </c>
      <c r="AC518" t="s">
        <v>238</v>
      </c>
      <c r="AD518" s="2" t="s">
        <v>238</v>
      </c>
      <c r="AE518" s="2" t="s">
        <v>253</v>
      </c>
      <c r="AF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8" s="2" t="str">
        <f>SUBSTITUTE(SUBSTITUTE(PROPERTIES[[#This Row],[PURCHASECOST_VALUE]], "PURCHASECOST_", ""), "_VALUE", "")</f>
        <v>EMU</v>
      </c>
      <c r="AI518" s="7" t="str" cm="1">
        <f t="array" ref="AI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8" s="43" t="b">
        <v>0</v>
      </c>
      <c r="AK518" s="8" t="b">
        <v>0</v>
      </c>
      <c r="BB518"/>
      <c r="BC518"/>
      <c r="BD518"/>
    </row>
    <row r="519" spans="1:56">
      <c r="A519" s="2" t="s">
        <v>3232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5" t="str">
        <f>_xlfn.XLOOKUP(PROPERTIES[[#This Row],[VEHIDCODE]],CONTROL[VEHIDCODE],CONTROL[ENGLISH])</f>
        <v>Breda ETR.300 'Settebello'</v>
      </c>
      <c r="F519" t="s">
        <v>675</v>
      </c>
      <c r="G519" s="45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8">
        <f>311/7</f>
        <v>44.428571428571431</v>
      </c>
      <c r="R519">
        <v>1020</v>
      </c>
      <c r="S519">
        <v>200</v>
      </c>
      <c r="T519" s="25">
        <f>70/2</f>
        <v>35</v>
      </c>
      <c r="U519" s="24">
        <f>IFERROR(PROPERTIES[[#This Row],[TE_STARTING_KN]]/(PROPERTIES[[#This Row],[WEIGHT]]*9.81),0)</f>
        <v>8.0303909325414369E-2</v>
      </c>
      <c r="V519" s="24">
        <v>0</v>
      </c>
      <c r="W519" s="21">
        <f>ROUND(IF(IFERROR(PROPERTIES[[#This Row],[TE_COEFFICIENT_CALC]],0)=0,PROPERTIES[[#This Row],[TE_COEFFICIENT_MANUAL]],PROPERTIES[[#This Row],[TE_COEFFICIENT_CALC]]),3)</f>
        <v>0.08</v>
      </c>
      <c r="X519" s="9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1">
        <f>INT(190/7)</f>
        <v>27</v>
      </c>
      <c r="Z519" s="7">
        <v>8</v>
      </c>
      <c r="AA519" t="s">
        <v>240</v>
      </c>
      <c r="AB519" t="s">
        <v>238</v>
      </c>
      <c r="AC519" t="s">
        <v>238</v>
      </c>
      <c r="AD519" s="2" t="s">
        <v>238</v>
      </c>
      <c r="AE519" s="2" t="s">
        <v>253</v>
      </c>
      <c r="AF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9" s="2" t="str">
        <f>SUBSTITUTE(SUBSTITUTE(PROPERTIES[[#This Row],[PURCHASECOST_VALUE]], "PURCHASECOST_", ""), "_VALUE", "")</f>
        <v>EMU</v>
      </c>
      <c r="AI519" s="7" t="str" cm="1">
        <f t="array" ref="AI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9" s="43" t="b">
        <v>0</v>
      </c>
      <c r="AK519" s="8" t="b">
        <v>0</v>
      </c>
      <c r="BB519"/>
      <c r="BC519"/>
      <c r="BD519"/>
    </row>
    <row r="520" spans="1:56">
      <c r="A520" s="2" t="s">
        <v>3233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5" t="str">
        <f>_xlfn.XLOOKUP(PROPERTIES[[#This Row],[VEHIDCODE]],CONTROL[VEHIDCODE],CONTROL[ENGLISH])</f>
        <v>TREVI ETR.500 'Frecciarossa'</v>
      </c>
      <c r="F520" t="s">
        <v>675</v>
      </c>
      <c r="G520" s="45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8">
        <v>54</v>
      </c>
      <c r="R520">
        <v>11800</v>
      </c>
      <c r="S520">
        <v>250</v>
      </c>
      <c r="T520" s="25">
        <f>400/2</f>
        <v>200</v>
      </c>
      <c r="U520" s="24">
        <f>IFERROR(PROPERTIES[[#This Row],[TE_STARTING_KN]]/(PROPERTIES[[#This Row],[WEIGHT]]*9.81),0)</f>
        <v>0.37754370068335408</v>
      </c>
      <c r="V520" s="24">
        <v>0</v>
      </c>
      <c r="W520" s="21">
        <f>ROUND(IF(IFERROR(PROPERTIES[[#This Row],[TE_COEFFICIENT_CALC]],0)=0,PROPERTIES[[#This Row],[TE_COEFFICIENT_MANUAL]],PROPERTIES[[#This Row],[TE_COEFFICIENT_CALC]]),3)</f>
        <v>0.378</v>
      </c>
      <c r="X520" s="9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1">
        <v>68</v>
      </c>
      <c r="Z520" s="7">
        <v>8</v>
      </c>
      <c r="AA520" t="s">
        <v>240</v>
      </c>
      <c r="AB520" t="s">
        <v>238</v>
      </c>
      <c r="AC520" t="s">
        <v>238</v>
      </c>
      <c r="AD520" s="2" t="s">
        <v>238</v>
      </c>
      <c r="AE520" s="2" t="s">
        <v>253</v>
      </c>
      <c r="AF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0" s="2" t="str">
        <f>SUBSTITUTE(SUBSTITUTE(PROPERTIES[[#This Row],[PURCHASECOST_VALUE]], "PURCHASECOST_", ""), "_VALUE", "")</f>
        <v>EMU</v>
      </c>
      <c r="AI520" s="7" t="str" cm="1">
        <f t="array" ref="AI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20" s="43" t="b">
        <v>0</v>
      </c>
      <c r="AK520" s="8" t="b">
        <v>0</v>
      </c>
      <c r="BB520"/>
      <c r="BC520"/>
      <c r="BD520"/>
    </row>
    <row r="521" spans="1:56">
      <c r="A521" s="2" t="s">
        <v>3234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5" t="str">
        <f>_xlfn.XLOOKUP(PROPERTIES[[#This Row],[VEHIDCODE]],CONTROL[VEHIDCODE],CONTROL[ENGLISH])</f>
        <v>AnsaldoBreda ALe 426</v>
      </c>
      <c r="F521" t="s">
        <v>675</v>
      </c>
      <c r="G521" s="45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8">
        <v>68</v>
      </c>
      <c r="R521">
        <v>2508</v>
      </c>
      <c r="S521">
        <v>140</v>
      </c>
      <c r="T521" s="25">
        <f>214/2</f>
        <v>107</v>
      </c>
      <c r="U521" s="24">
        <f>IFERROR(PROPERTIES[[#This Row],[TE_STARTING_KN]]/(PROPERTIES[[#This Row],[WEIGHT]]*9.81),0)</f>
        <v>0.16040055165797204</v>
      </c>
      <c r="V521" s="24">
        <v>0</v>
      </c>
      <c r="W521" s="21">
        <f>ROUND(IF(IFERROR(PROPERTIES[[#This Row],[TE_COEFFICIENT_CALC]],0)=0,PROPERTIES[[#This Row],[TE_COEFFICIENT_MANUAL]],PROPERTIES[[#This Row],[TE_COEFFICIENT_CALC]]),3)</f>
        <v>0.16</v>
      </c>
      <c r="X521" s="9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1">
        <v>130</v>
      </c>
      <c r="Z521" s="7">
        <v>8</v>
      </c>
      <c r="AA521" t="s">
        <v>240</v>
      </c>
      <c r="AB521" t="s">
        <v>238</v>
      </c>
      <c r="AC521" t="s">
        <v>238</v>
      </c>
      <c r="AD521" s="2" t="s">
        <v>238</v>
      </c>
      <c r="AE521" s="2" t="s">
        <v>253</v>
      </c>
      <c r="AF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1" s="2" t="str">
        <f>SUBSTITUTE(SUBSTITUTE(PROPERTIES[[#This Row],[PURCHASECOST_VALUE]], "PURCHASECOST_", ""), "_VALUE", "")</f>
        <v>EMU</v>
      </c>
      <c r="AI521" s="7" t="str" cm="1">
        <f t="array" ref="AI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1" s="43" t="b">
        <v>0</v>
      </c>
      <c r="AK521" s="8" t="b">
        <v>0</v>
      </c>
      <c r="BB521"/>
      <c r="BC521"/>
      <c r="BD521"/>
    </row>
    <row r="522" spans="1:56">
      <c r="A522" s="2" t="s">
        <v>3235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5" t="str">
        <f>_xlfn.XLOOKUP(PROPERTIES[[#This Row],[VEHIDCODE]],CONTROL[VEHIDCODE],CONTROL[ENGLISH])</f>
        <v>BN/ACEC ZMC</v>
      </c>
      <c r="F522" t="s">
        <v>702</v>
      </c>
      <c r="G522" s="45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8">
        <v>48</v>
      </c>
      <c r="R522">
        <v>1900</v>
      </c>
      <c r="S522">
        <v>160</v>
      </c>
      <c r="T522" s="25">
        <f>102/2</f>
        <v>51</v>
      </c>
      <c r="U522" s="24">
        <f>IFERROR(PROPERTIES[[#This Row],[TE_STARTING_KN]]/(PROPERTIES[[#This Row],[WEIGHT]]*9.81),0)</f>
        <v>0.10830784913353721</v>
      </c>
      <c r="V522" s="24">
        <v>0</v>
      </c>
      <c r="W522" s="21">
        <f>ROUND(IF(IFERROR(PROPERTIES[[#This Row],[TE_COEFFICIENT_CALC]],0)=0,PROPERTIES[[#This Row],[TE_COEFFICIENT_MANUAL]],PROPERTIES[[#This Row],[TE_COEFFICIENT_CALC]]),3)</f>
        <v>0.108</v>
      </c>
      <c r="X522" s="9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1">
        <v>90</v>
      </c>
      <c r="Z522" s="7">
        <v>8</v>
      </c>
      <c r="AA522" t="s">
        <v>242</v>
      </c>
      <c r="AB522" t="s">
        <v>239</v>
      </c>
      <c r="AC522" t="s">
        <v>238</v>
      </c>
      <c r="AD522" s="2" t="s">
        <v>238</v>
      </c>
      <c r="AE522" s="2" t="s">
        <v>253</v>
      </c>
      <c r="AF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2" s="2" t="str">
        <f>SUBSTITUTE(SUBSTITUTE(PROPERTIES[[#This Row],[PURCHASECOST_VALUE]], "PURCHASECOST_", ""), "_VALUE", "")</f>
        <v>EMU</v>
      </c>
      <c r="AI522" s="7" t="str" cm="1">
        <f t="array" ref="AI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2" s="43" t="b">
        <v>0</v>
      </c>
      <c r="AK522" s="8" t="b">
        <v>0</v>
      </c>
      <c r="BB522"/>
      <c r="BC522"/>
      <c r="BD522"/>
    </row>
    <row r="523" spans="1:56">
      <c r="A523" s="2" t="s">
        <v>3236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5" t="str">
        <f>_xlfn.XLOOKUP(PROPERTIES[[#This Row],[VEHIDCODE]],CONTROL[VEHIDCODE],CONTROL[ENGLISH])</f>
        <v>ASEA EW54</v>
      </c>
      <c r="F523" t="s">
        <v>744</v>
      </c>
      <c r="G523" s="45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8">
        <v>40</v>
      </c>
      <c r="R523">
        <v>642</v>
      </c>
      <c r="S523">
        <v>100</v>
      </c>
      <c r="T523" s="25">
        <f>92/2</f>
        <v>46</v>
      </c>
      <c r="U523" s="24">
        <f>IFERROR(PROPERTIES[[#This Row],[TE_STARTING_KN]]/(PROPERTIES[[#This Row],[WEIGHT]]*9.81),0)</f>
        <v>0.11722731906218144</v>
      </c>
      <c r="V523" s="24">
        <v>0</v>
      </c>
      <c r="W523" s="21">
        <f>ROUND(IF(IFERROR(PROPERTIES[[#This Row],[TE_COEFFICIENT_CALC]],0)=0,PROPERTIES[[#This Row],[TE_COEFFICIENT_MANUAL]],PROPERTIES[[#This Row],[TE_COEFFICIENT_CALC]]),3)</f>
        <v>0.11700000000000001</v>
      </c>
      <c r="X523" s="9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1">
        <f>INT(530/3)</f>
        <v>176</v>
      </c>
      <c r="Z523" s="7">
        <v>8</v>
      </c>
      <c r="AA523" t="s">
        <v>245</v>
      </c>
      <c r="AB523" t="s">
        <v>238</v>
      </c>
      <c r="AC523" t="s">
        <v>238</v>
      </c>
      <c r="AD523" s="2" t="s">
        <v>238</v>
      </c>
      <c r="AE523" s="2" t="s">
        <v>253</v>
      </c>
      <c r="AF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3" s="2" t="str">
        <f>SUBSTITUTE(SUBSTITUTE(PROPERTIES[[#This Row],[PURCHASECOST_VALUE]], "PURCHASECOST_", ""), "_VALUE", "")</f>
        <v>EMU</v>
      </c>
      <c r="AI523" s="7" t="str" cm="1">
        <f t="array" ref="AI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3" s="43" t="b">
        <v>0</v>
      </c>
      <c r="AK523" s="8" t="b">
        <v>0</v>
      </c>
      <c r="BB523"/>
      <c r="BC523"/>
      <c r="BD523"/>
    </row>
    <row r="524" spans="1:56">
      <c r="A524" s="2" t="s">
        <v>3237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5" t="str">
        <f>_xlfn.XLOOKUP(PROPERTIES[[#This Row],[VEHIDCODE]],CONTROL[VEHIDCODE],CONTROL[ENGLISH])</f>
        <v>Breda ALe 801</v>
      </c>
      <c r="F524" t="s">
        <v>675</v>
      </c>
      <c r="G524" s="45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8">
        <v>70</v>
      </c>
      <c r="R524">
        <v>702</v>
      </c>
      <c r="S524">
        <v>150</v>
      </c>
      <c r="T524" s="25">
        <f>110/2</f>
        <v>55</v>
      </c>
      <c r="U524" s="24">
        <f>IFERROR(PROPERTIES[[#This Row],[TE_STARTING_KN]]/(PROPERTIES[[#This Row],[WEIGHT]]*9.81),0)</f>
        <v>8.0093199359254394E-2</v>
      </c>
      <c r="V524" s="24">
        <v>0</v>
      </c>
      <c r="W524" s="21">
        <f>ROUND(IF(IFERROR(PROPERTIES[[#This Row],[TE_COEFFICIENT_CALC]],0)=0,PROPERTIES[[#This Row],[TE_COEFFICIENT_MANUAL]],PROPERTIES[[#This Row],[TE_COEFFICIENT_CALC]]),3)</f>
        <v>0.08</v>
      </c>
      <c r="X524" s="9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1">
        <v>108</v>
      </c>
      <c r="Z524" s="7">
        <v>7</v>
      </c>
      <c r="AA524" t="s">
        <v>240</v>
      </c>
      <c r="AB524" t="s">
        <v>238</v>
      </c>
      <c r="AC524" t="s">
        <v>238</v>
      </c>
      <c r="AD524" s="2" t="s">
        <v>238</v>
      </c>
      <c r="AE524" s="2" t="s">
        <v>253</v>
      </c>
      <c r="AF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4" s="2" t="str">
        <f>SUBSTITUTE(SUBSTITUTE(PROPERTIES[[#This Row],[PURCHASECOST_VALUE]], "PURCHASECOST_", ""), "_VALUE", "")</f>
        <v>EMU</v>
      </c>
      <c r="AI524" s="7" t="str" cm="1">
        <f t="array" ref="AI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4" s="43" t="b">
        <v>0</v>
      </c>
      <c r="AK524" s="8" t="b">
        <v>0</v>
      </c>
      <c r="BB524"/>
      <c r="BC524"/>
      <c r="BD524"/>
    </row>
    <row r="525" spans="1:56">
      <c r="A525" s="2" t="s">
        <v>3238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5" t="str">
        <f>_xlfn.XLOOKUP(PROPERTIES[[#This Row],[VEHIDCODE]],CONTROL[VEHIDCODE],CONTROL[ENGLISH])</f>
        <v>SGP/AEG/BBC 4030</v>
      </c>
      <c r="F525" t="s">
        <v>579</v>
      </c>
      <c r="G525" s="45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8">
        <f>(56+32)/2</f>
        <v>44</v>
      </c>
      <c r="R525">
        <v>1341</v>
      </c>
      <c r="S525">
        <v>100</v>
      </c>
      <c r="T525" s="25">
        <f>99/2</f>
        <v>49.5</v>
      </c>
      <c r="U525" s="24">
        <f>IFERROR(PROPERTIES[[#This Row],[TE_STARTING_KN]]/(PROPERTIES[[#This Row],[WEIGHT]]*9.81),0)</f>
        <v>0.1146788990825688</v>
      </c>
      <c r="V525" s="24">
        <v>0</v>
      </c>
      <c r="W525" s="21">
        <f>ROUND(IF(IFERROR(PROPERTIES[[#This Row],[TE_COEFFICIENT_CALC]],0)=0,PROPERTIES[[#This Row],[TE_COEFFICIENT_MANUAL]],PROPERTIES[[#This Row],[TE_COEFFICIENT_CALC]]),3)</f>
        <v>0.115</v>
      </c>
      <c r="X525" s="9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1">
        <v>72</v>
      </c>
      <c r="Z525" s="7">
        <v>7</v>
      </c>
      <c r="AA525" t="s">
        <v>239</v>
      </c>
      <c r="AB525" t="s">
        <v>238</v>
      </c>
      <c r="AC525" t="s">
        <v>238</v>
      </c>
      <c r="AD525" s="2" t="s">
        <v>238</v>
      </c>
      <c r="AE525" s="2" t="s">
        <v>253</v>
      </c>
      <c r="AF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5" s="2" t="str">
        <f>SUBSTITUTE(SUBSTITUTE(PROPERTIES[[#This Row],[PURCHASECOST_VALUE]], "PURCHASECOST_", ""), "_VALUE", "")</f>
        <v>EMU</v>
      </c>
      <c r="AI525" s="7" t="str" cm="1">
        <f t="array" ref="AI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5" s="43" t="b">
        <v>0</v>
      </c>
      <c r="AK525" s="8" t="b">
        <v>0</v>
      </c>
      <c r="BB525"/>
      <c r="BC525"/>
      <c r="BD525"/>
    </row>
    <row r="526" spans="1:56">
      <c r="A526" s="2" t="s">
        <v>3239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5" t="str">
        <f>_xlfn.XLOOKUP(PROPERTIES[[#This Row],[VEHIDCODE]],CONTROL[VEHIDCODE],CONTROL[ENGLISH])</f>
        <v>ELIN ET 10</v>
      </c>
      <c r="F526" t="s">
        <v>579</v>
      </c>
      <c r="G526" s="45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8">
        <v>72.7</v>
      </c>
      <c r="R526">
        <f>555*2</f>
        <v>1110</v>
      </c>
      <c r="S526">
        <v>62</v>
      </c>
      <c r="T526" s="25">
        <f>200/2</f>
        <v>100</v>
      </c>
      <c r="U526" s="24">
        <f>IFERROR(PROPERTIES[[#This Row],[TE_STARTING_KN]]/(PROPERTIES[[#This Row],[WEIGHT]]*9.81),0)</f>
        <v>0.14021567975860469</v>
      </c>
      <c r="V526" s="24">
        <v>0</v>
      </c>
      <c r="W526" s="21">
        <f>ROUND(IF(IFERROR(PROPERTIES[[#This Row],[TE_COEFFICIENT_CALC]],0)=0,PROPERTIES[[#This Row],[TE_COEFFICIENT_MANUAL]],PROPERTIES[[#This Row],[TE_COEFFICIENT_CALC]]),3)</f>
        <v>0.14000000000000001</v>
      </c>
      <c r="X526" s="9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1">
        <v>62</v>
      </c>
      <c r="Z526" s="7">
        <v>8</v>
      </c>
      <c r="AA526" t="s">
        <v>239</v>
      </c>
      <c r="AB526" t="s">
        <v>238</v>
      </c>
      <c r="AC526" t="s">
        <v>238</v>
      </c>
      <c r="AD526" s="2" t="s">
        <v>238</v>
      </c>
      <c r="AE526" s="2" t="s">
        <v>253</v>
      </c>
      <c r="AF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6" s="2" t="str">
        <f>SUBSTITUTE(SUBSTITUTE(PROPERTIES[[#This Row],[PURCHASECOST_VALUE]], "PURCHASECOST_", ""), "_VALUE", "")</f>
        <v>EMU</v>
      </c>
      <c r="AI526" s="7" t="str" cm="1">
        <f t="array" ref="AI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6" s="43" t="b">
        <v>0</v>
      </c>
      <c r="AK526" s="8" t="b">
        <v>0</v>
      </c>
      <c r="BB526"/>
      <c r="BC526"/>
      <c r="BD526"/>
    </row>
    <row r="527" spans="1:56">
      <c r="A527" s="2" t="s">
        <v>3240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5" t="str">
        <f>_xlfn.XLOOKUP(PROPERTIES[[#This Row],[VEHIDCODE]],CONTROL[VEHIDCODE],CONTROL[ENGLISH])</f>
        <v>Stadler 'KISS'</v>
      </c>
      <c r="F527" t="s">
        <v>579</v>
      </c>
      <c r="G527" s="45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8">
        <v>78</v>
      </c>
      <c r="R527">
        <v>5340</v>
      </c>
      <c r="S527">
        <v>200</v>
      </c>
      <c r="T527" s="25">
        <f>200/2</f>
        <v>100</v>
      </c>
      <c r="U527" s="24">
        <f>IFERROR(PROPERTIES[[#This Row],[TE_STARTING_KN]]/(PROPERTIES[[#This Row],[WEIGHT]]*9.81),0)</f>
        <v>0.13068820408269949</v>
      </c>
      <c r="V527" s="24">
        <v>0</v>
      </c>
      <c r="W527" s="21">
        <f>ROUND(IF(IFERROR(PROPERTIES[[#This Row],[TE_COEFFICIENT_CALC]],0)=0,PROPERTIES[[#This Row],[TE_COEFFICIENT_MANUAL]],PROPERTIES[[#This Row],[TE_COEFFICIENT_CALC]]),3)</f>
        <v>0.13100000000000001</v>
      </c>
      <c r="X527" s="9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1">
        <v>140</v>
      </c>
      <c r="Z527" s="7">
        <v>8</v>
      </c>
      <c r="AA527" t="s">
        <v>239</v>
      </c>
      <c r="AB527" t="s">
        <v>238</v>
      </c>
      <c r="AC527" t="s">
        <v>238</v>
      </c>
      <c r="AD527" s="2" t="s">
        <v>238</v>
      </c>
      <c r="AE527" s="2" t="s">
        <v>253</v>
      </c>
      <c r="AF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7" s="2" t="str">
        <f>SUBSTITUTE(SUBSTITUTE(PROPERTIES[[#This Row],[PURCHASECOST_VALUE]], "PURCHASECOST_", ""), "_VALUE", "")</f>
        <v>EMU</v>
      </c>
      <c r="AI527" s="7" t="str" cm="1">
        <f t="array" ref="AI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7" s="43" t="b">
        <v>0</v>
      </c>
      <c r="AK527" s="8" t="b">
        <v>0</v>
      </c>
      <c r="BB527"/>
      <c r="BC527"/>
      <c r="BD527"/>
    </row>
    <row r="528" spans="1:56">
      <c r="A528" s="2" t="s">
        <v>3241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5" t="str">
        <f>_xlfn.XLOOKUP(PROPERTIES[[#This Row],[VEHIDCODE]],CONTROL[VEHIDCODE],CONTROL[ENGLISH])</f>
        <v>LHB 420</v>
      </c>
      <c r="F528" t="s">
        <v>623</v>
      </c>
      <c r="G528" s="45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8">
        <v>46</v>
      </c>
      <c r="R528">
        <f>1072*2</f>
        <v>2144</v>
      </c>
      <c r="S528">
        <v>125</v>
      </c>
      <c r="T528" s="25">
        <v>63</v>
      </c>
      <c r="U528" s="24">
        <f>IFERROR(PROPERTIES[[#This Row],[TE_STARTING_KN]]/(PROPERTIES[[#This Row],[WEIGHT]]*9.81),0)</f>
        <v>0.13960909453530115</v>
      </c>
      <c r="V528" s="24">
        <v>0</v>
      </c>
      <c r="W528" s="21">
        <f>ROUND(IF(IFERROR(PROPERTIES[[#This Row],[TE_COEFFICIENT_CALC]],0)=0,PROPERTIES[[#This Row],[TE_COEFFICIENT_MANUAL]],PROPERTIES[[#This Row],[TE_COEFFICIENT_CALC]]),3)</f>
        <v>0.14000000000000001</v>
      </c>
      <c r="X528" s="9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0">
        <f>INT((192+266)/3)</f>
        <v>152</v>
      </c>
      <c r="Z528" s="7">
        <v>8</v>
      </c>
      <c r="AA528" t="s">
        <v>239</v>
      </c>
      <c r="AB528" t="s">
        <v>238</v>
      </c>
      <c r="AC528" t="s">
        <v>238</v>
      </c>
      <c r="AD528" s="2" t="s">
        <v>238</v>
      </c>
      <c r="AE528" s="2" t="s">
        <v>253</v>
      </c>
      <c r="AF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8" s="2" t="str">
        <f>SUBSTITUTE(SUBSTITUTE(PROPERTIES[[#This Row],[PURCHASECOST_VALUE]], "PURCHASECOST_", ""), "_VALUE", "")</f>
        <v>EMU</v>
      </c>
      <c r="AI528" s="7" t="str" cm="1">
        <f t="array" ref="AI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8" s="43" t="b">
        <v>0</v>
      </c>
      <c r="AK528" s="8" t="b">
        <v>0</v>
      </c>
      <c r="BB528"/>
      <c r="BC528"/>
      <c r="BD528"/>
    </row>
    <row r="529" spans="1:56">
      <c r="A529" s="2" t="s">
        <v>3242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5" t="str">
        <f>_xlfn.XLOOKUP(PROPERTIES[[#This Row],[VEHIDCODE]],CONTROL[VEHIDCODE],CONTROL[ENGLISH])</f>
        <v>Adtranz BM73</v>
      </c>
      <c r="F529" t="s">
        <v>732</v>
      </c>
      <c r="G529" s="45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8">
        <v>54</v>
      </c>
      <c r="R529">
        <f>1166*2</f>
        <v>2332</v>
      </c>
      <c r="S529">
        <v>210</v>
      </c>
      <c r="T529" s="25">
        <f>117/2</f>
        <v>58.5</v>
      </c>
      <c r="U529" s="24">
        <f>IFERROR(PROPERTIES[[#This Row],[TE_STARTING_KN]]/(PROPERTIES[[#This Row],[WEIGHT]]*9.81),0)</f>
        <v>0.11043153244988108</v>
      </c>
      <c r="V529" s="24">
        <v>0</v>
      </c>
      <c r="W529" s="21">
        <f>ROUND(IF(IFERROR(PROPERTIES[[#This Row],[TE_COEFFICIENT_CALC]],0)=0,PROPERTIES[[#This Row],[TE_COEFFICIENT_MANUAL]],PROPERTIES[[#This Row],[TE_COEFFICIENT_CALC]]),3)</f>
        <v>0.11</v>
      </c>
      <c r="X529" s="9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1">
        <v>54</v>
      </c>
      <c r="Z529" s="7">
        <v>8</v>
      </c>
      <c r="AA529" t="s">
        <v>243</v>
      </c>
      <c r="AB529" t="s">
        <v>238</v>
      </c>
      <c r="AC529" t="s">
        <v>238</v>
      </c>
      <c r="AD529" s="2" t="s">
        <v>238</v>
      </c>
      <c r="AE529" s="2" t="s">
        <v>253</v>
      </c>
      <c r="AF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9" s="2" t="str">
        <f>SUBSTITUTE(SUBSTITUTE(PROPERTIES[[#This Row],[PURCHASECOST_VALUE]], "PURCHASECOST_", ""), "_VALUE", "")</f>
        <v>EMU</v>
      </c>
      <c r="AI529" s="7" t="str" cm="1">
        <f t="array" ref="AI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9" s="43" t="b">
        <v>0</v>
      </c>
      <c r="AK529" s="8" t="b">
        <v>0</v>
      </c>
      <c r="BB529"/>
      <c r="BC529"/>
      <c r="BD529"/>
    </row>
    <row r="530" spans="1:56">
      <c r="A530" s="2" t="s">
        <v>3243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5" t="str">
        <f>_xlfn.XLOOKUP(PROPERTIES[[#This Row],[VEHIDCODE]],CONTROL[VEHIDCODE],CONTROL[ENGLISH])</f>
        <v>NEBB M65</v>
      </c>
      <c r="F530" t="s">
        <v>732</v>
      </c>
      <c r="G530" s="45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8">
        <f>(47+30)/2</f>
        <v>38.5</v>
      </c>
      <c r="R530">
        <v>622</v>
      </c>
      <c r="S530">
        <v>70</v>
      </c>
      <c r="T530" s="25">
        <f>85/2</f>
        <v>42.5</v>
      </c>
      <c r="U530" s="24">
        <f>IFERROR(PROPERTIES[[#This Row],[TE_STARTING_KN]]/(PROPERTIES[[#This Row],[WEIGHT]]*9.81),0)</f>
        <v>0.11252763546341528</v>
      </c>
      <c r="V530" s="24">
        <v>0</v>
      </c>
      <c r="W530" s="21">
        <f>ROUND(IF(IFERROR(PROPERTIES[[#This Row],[TE_COEFFICIENT_CALC]],0)=0,PROPERTIES[[#This Row],[TE_COEFFICIENT_MANUAL]],PROPERTIES[[#This Row],[TE_COEFFICIENT_CALC]]),3)</f>
        <v>0.113</v>
      </c>
      <c r="X530" s="9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1">
        <v>50</v>
      </c>
      <c r="Z530" s="7">
        <v>7</v>
      </c>
      <c r="AA530" t="s">
        <v>243</v>
      </c>
      <c r="AB530" t="s">
        <v>238</v>
      </c>
      <c r="AC530" t="s">
        <v>238</v>
      </c>
      <c r="AD530" s="2" t="s">
        <v>238</v>
      </c>
      <c r="AE530" s="2" t="s">
        <v>253</v>
      </c>
      <c r="AF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0" s="2" t="str">
        <f>SUBSTITUTE(SUBSTITUTE(PROPERTIES[[#This Row],[PURCHASECOST_VALUE]], "PURCHASECOST_", ""), "_VALUE", "")</f>
        <v>EMU</v>
      </c>
      <c r="AI530" s="7" t="str" cm="1">
        <f t="array" ref="AI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0" s="43" t="b">
        <v>0</v>
      </c>
      <c r="AK530" s="8" t="b">
        <v>0</v>
      </c>
      <c r="BB530"/>
      <c r="BC530"/>
      <c r="BD530"/>
    </row>
    <row r="531" spans="1:56">
      <c r="A531" s="2" t="s">
        <v>3244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5" t="str">
        <f>_xlfn.XLOOKUP(PROPERTIES[[#This Row],[VEHIDCODE]],CONTROL[VEHIDCODE],CONTROL[ENGLISH])</f>
        <v>ASEA X2000</v>
      </c>
      <c r="F531" t="s">
        <v>761</v>
      </c>
      <c r="G531" s="45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8">
        <v>73</v>
      </c>
      <c r="R531">
        <v>4400</v>
      </c>
      <c r="S531">
        <v>200</v>
      </c>
      <c r="T531" s="25">
        <f>160/2</f>
        <v>80</v>
      </c>
      <c r="U531" s="24">
        <f>IFERROR(PROPERTIES[[#This Row],[TE_STARTING_KN]]/(PROPERTIES[[#This Row],[WEIGHT]]*9.81),0)</f>
        <v>0.11171156075014313</v>
      </c>
      <c r="V531" s="24">
        <v>0</v>
      </c>
      <c r="W531" s="21">
        <f>ROUND(IF(IFERROR(PROPERTIES[[#This Row],[TE_COEFFICIENT_CALC]],0)=0,PROPERTIES[[#This Row],[TE_COEFFICIENT_MANUAL]],PROPERTIES[[#This Row],[TE_COEFFICIENT_CALC]]),3)</f>
        <v>0.112</v>
      </c>
      <c r="X531" s="9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1">
        <v>72</v>
      </c>
      <c r="Z531" s="7">
        <v>8</v>
      </c>
      <c r="AA531" t="s">
        <v>243</v>
      </c>
      <c r="AB531" t="s">
        <v>2012</v>
      </c>
      <c r="AC531" t="s">
        <v>238</v>
      </c>
      <c r="AD531" s="2" t="s">
        <v>238</v>
      </c>
      <c r="AE531" s="2" t="s">
        <v>253</v>
      </c>
      <c r="AF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1" s="2" t="str">
        <f>SUBSTITUTE(SUBSTITUTE(PROPERTIES[[#This Row],[PURCHASECOST_VALUE]], "PURCHASECOST_", ""), "_VALUE", "")</f>
        <v>EMU</v>
      </c>
      <c r="AI531" s="7" t="str" cm="1">
        <f t="array" ref="AI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31" s="43" t="b">
        <v>0</v>
      </c>
      <c r="AK531" s="8" t="b">
        <v>0</v>
      </c>
      <c r="BB531"/>
      <c r="BC531"/>
      <c r="BD531"/>
    </row>
    <row r="532" spans="1:56">
      <c r="A532" s="2" t="s">
        <v>3245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5" t="str">
        <f>_xlfn.XLOOKUP(PROPERTIES[[#This Row],[VEHIDCODE]],CONTROL[VEHIDCODE],CONTROL[ENGLISH])</f>
        <v>SWP RABDe 510</v>
      </c>
      <c r="F532" t="s">
        <v>609</v>
      </c>
      <c r="G532" s="45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8">
        <f>INT(200/3)</f>
        <v>66</v>
      </c>
      <c r="R532">
        <f>INT(3277*2/3)</f>
        <v>2184</v>
      </c>
      <c r="S532">
        <v>125</v>
      </c>
      <c r="T532" s="25">
        <f>239/2</f>
        <v>119.5</v>
      </c>
      <c r="U532" s="24">
        <f>IFERROR(PROPERTIES[[#This Row],[TE_STARTING_KN]]/(PROPERTIES[[#This Row],[WEIGHT]]*9.81),0)</f>
        <v>0.18456738640224879</v>
      </c>
      <c r="V532" s="24">
        <v>0</v>
      </c>
      <c r="W532" s="21">
        <f>ROUND(IF(IFERROR(PROPERTIES[[#This Row],[TE_COEFFICIENT_CALC]],0)=0,PROPERTIES[[#This Row],[TE_COEFFICIENT_MANUAL]],PROPERTIES[[#This Row],[TE_COEFFICIENT_CALC]]),3)</f>
        <v>0.185</v>
      </c>
      <c r="X532" s="9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1">
        <f>INT(200/3)</f>
        <v>66</v>
      </c>
      <c r="Z532" s="7">
        <v>8</v>
      </c>
      <c r="AA532" t="s">
        <v>239</v>
      </c>
      <c r="AB532" t="s">
        <v>238</v>
      </c>
      <c r="AC532" t="s">
        <v>238</v>
      </c>
      <c r="AD532" s="2" t="s">
        <v>238</v>
      </c>
      <c r="AE532" s="2" t="s">
        <v>253</v>
      </c>
      <c r="AF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2" s="2" t="str">
        <f>SUBSTITUTE(SUBSTITUTE(PROPERTIES[[#This Row],[PURCHASECOST_VALUE]], "PURCHASECOST_", ""), "_VALUE", "")</f>
        <v>EMU</v>
      </c>
      <c r="AI532" s="7" t="str" cm="1">
        <f t="array" ref="AI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2" s="43" t="b">
        <v>0</v>
      </c>
      <c r="AK532" s="8" t="b">
        <v>0</v>
      </c>
      <c r="BB532"/>
      <c r="BC532"/>
      <c r="BD532"/>
    </row>
    <row r="533" spans="1:56">
      <c r="A533" s="2" t="s">
        <v>3246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5" t="str">
        <f>_xlfn.XLOOKUP(PROPERTIES[[#This Row],[VEHIDCODE]],CONTROL[VEHIDCODE],CONTROL[ENGLISH])</f>
        <v>Schindler RBDe 560</v>
      </c>
      <c r="F533" t="s">
        <v>609</v>
      </c>
      <c r="G533" s="45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8">
        <v>35</v>
      </c>
      <c r="R533">
        <v>2210</v>
      </c>
      <c r="S533">
        <v>140</v>
      </c>
      <c r="T533" s="25">
        <f>182/2</f>
        <v>91</v>
      </c>
      <c r="U533" s="24">
        <f>IFERROR(PROPERTIES[[#This Row],[TE_STARTING_KN]]/(PROPERTIES[[#This Row],[WEIGHT]]*9.81),0)</f>
        <v>0.26503567787971455</v>
      </c>
      <c r="V533" s="24">
        <v>0</v>
      </c>
      <c r="W533" s="21">
        <f>ROUND(IF(IFERROR(PROPERTIES[[#This Row],[TE_COEFFICIENT_CALC]],0)=0,PROPERTIES[[#This Row],[TE_COEFFICIENT_MANUAL]],PROPERTIES[[#This Row],[TE_COEFFICIENT_CALC]]),3)</f>
        <v>0.26500000000000001</v>
      </c>
      <c r="X533" s="9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1">
        <v>56</v>
      </c>
      <c r="Z533" s="7">
        <v>8</v>
      </c>
      <c r="AA533" t="s">
        <v>239</v>
      </c>
      <c r="AB533" t="s">
        <v>238</v>
      </c>
      <c r="AC533" t="s">
        <v>238</v>
      </c>
      <c r="AD533" s="2" t="s">
        <v>238</v>
      </c>
      <c r="AE533" s="2" t="s">
        <v>253</v>
      </c>
      <c r="AF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3" s="2" t="str">
        <f>SUBSTITUTE(SUBSTITUTE(PROPERTIES[[#This Row],[PURCHASECOST_VALUE]], "PURCHASECOST_", ""), "_VALUE", "")</f>
        <v>EMU</v>
      </c>
      <c r="AI533" s="7" t="str" cm="1">
        <f t="array" ref="AI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3" s="43" t="b">
        <v>0</v>
      </c>
      <c r="AK533" s="8" t="b">
        <v>0</v>
      </c>
      <c r="BB533"/>
      <c r="BC533"/>
      <c r="BD533"/>
    </row>
    <row r="534" spans="1:56">
      <c r="A534" s="2" t="s">
        <v>3247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5" t="str">
        <f>_xlfn.XLOOKUP(PROPERTIES[[#This Row],[VEHIDCODE]],CONTROL[VEHIDCODE],CONTROL[ENGLISH])</f>
        <v>Stadler RABe 523 'Flirt'</v>
      </c>
      <c r="F534" t="s">
        <v>609</v>
      </c>
      <c r="G534" s="45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8">
        <v>31</v>
      </c>
      <c r="R534">
        <v>2682</v>
      </c>
      <c r="S534">
        <v>160</v>
      </c>
      <c r="T534" s="25">
        <f>200/2</f>
        <v>100</v>
      </c>
      <c r="U534" s="24">
        <f>IFERROR(PROPERTIES[[#This Row],[TE_STARTING_KN]]/(PROPERTIES[[#This Row],[WEIGHT]]*9.81),0)</f>
        <v>0.32882838446614709</v>
      </c>
      <c r="V534" s="24">
        <v>0</v>
      </c>
      <c r="W534" s="21">
        <f>ROUND(IF(IFERROR(PROPERTIES[[#This Row],[TE_COEFFICIENT_CALC]],0)=0,PROPERTIES[[#This Row],[TE_COEFFICIENT_MANUAL]],PROPERTIES[[#This Row],[TE_COEFFICIENT_CALC]]),3)</f>
        <v>0.32900000000000001</v>
      </c>
      <c r="X534" s="9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1">
        <v>50</v>
      </c>
      <c r="Z534" s="7">
        <v>7</v>
      </c>
      <c r="AA534" t="s">
        <v>248</v>
      </c>
      <c r="AB534" t="s">
        <v>238</v>
      </c>
      <c r="AC534" t="s">
        <v>238</v>
      </c>
      <c r="AD534" s="2" t="s">
        <v>238</v>
      </c>
      <c r="AE534" s="2" t="s">
        <v>253</v>
      </c>
      <c r="AF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4" s="2" t="str">
        <f>SUBSTITUTE(SUBSTITUTE(PROPERTIES[[#This Row],[PURCHASECOST_VALUE]], "PURCHASECOST_", ""), "_VALUE", "")</f>
        <v>EMU</v>
      </c>
      <c r="AI534" s="7" t="str" cm="1">
        <f t="array" ref="AI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4" s="43" t="b">
        <v>0</v>
      </c>
      <c r="AK534" s="8" t="b">
        <v>0</v>
      </c>
      <c r="BB534"/>
      <c r="BC534"/>
      <c r="BD534"/>
    </row>
    <row r="535" spans="1:56">
      <c r="A535" s="2" t="s">
        <v>3248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5" t="str">
        <f>_xlfn.XLOOKUP(PROPERTIES[[#This Row],[VEHIDCODE]],CONTROL[VEHIDCODE],CONTROL[ENGLISH])</f>
        <v>Budd Metroliner</v>
      </c>
      <c r="F535" t="s">
        <v>796</v>
      </c>
      <c r="G535" s="45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8">
        <v>75</v>
      </c>
      <c r="R535">
        <v>2400</v>
      </c>
      <c r="S535">
        <v>190</v>
      </c>
      <c r="T535" s="25">
        <f>200/2</f>
        <v>100</v>
      </c>
      <c r="U535" s="24">
        <f>IFERROR(PROPERTIES[[#This Row],[TE_STARTING_KN]]/(PROPERTIES[[#This Row],[WEIGHT]]*9.81),0)</f>
        <v>0.13591573224600748</v>
      </c>
      <c r="V535" s="24">
        <v>0</v>
      </c>
      <c r="W535" s="21">
        <f>ROUND(IF(IFERROR(PROPERTIES[[#This Row],[TE_COEFFICIENT_CALC]],0)=0,PROPERTIES[[#This Row],[TE_COEFFICIENT_MANUAL]],PROPERTIES[[#This Row],[TE_COEFFICIENT_CALC]]),3)</f>
        <v>0.13600000000000001</v>
      </c>
      <c r="X535" s="9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0">
        <v>76</v>
      </c>
      <c r="Z535" s="7">
        <v>8</v>
      </c>
      <c r="AA535" t="s">
        <v>244</v>
      </c>
      <c r="AB535" t="s">
        <v>238</v>
      </c>
      <c r="AC535" t="s">
        <v>238</v>
      </c>
      <c r="AD535" s="2" t="s">
        <v>238</v>
      </c>
      <c r="AE535" s="2" t="s">
        <v>253</v>
      </c>
      <c r="AF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5" s="2" t="str">
        <f>SUBSTITUTE(SUBSTITUTE(PROPERTIES[[#This Row],[PURCHASECOST_VALUE]], "PURCHASECOST_", ""), "_VALUE", "")</f>
        <v>EMU</v>
      </c>
      <c r="AI535" s="7" t="str" cm="1">
        <f t="array" ref="AI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5" s="43" t="b">
        <v>0</v>
      </c>
      <c r="AK535" s="8" t="b">
        <v>0</v>
      </c>
      <c r="BB535"/>
      <c r="BC535"/>
      <c r="BD535"/>
    </row>
    <row r="536" spans="1:56">
      <c r="A536" s="2" t="s">
        <v>3249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5" t="str">
        <f>_xlfn.XLOOKUP(PROPERTIES[[#This Row],[VEHIDCODE]],CONTROL[VEHIDCODE],CONTROL[ENGLISH])</f>
        <v>Siemens Velero</v>
      </c>
      <c r="F536" t="s">
        <v>623</v>
      </c>
      <c r="G536" s="45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8">
        <f>409/8</f>
        <v>51.125</v>
      </c>
      <c r="R536">
        <v>10728</v>
      </c>
      <c r="S536">
        <v>328</v>
      </c>
      <c r="T536" s="25">
        <f>300/2</f>
        <v>150</v>
      </c>
      <c r="U536" s="24">
        <f>IFERROR(PROPERTIES[[#This Row],[TE_STARTING_KN]]/(PROPERTIES[[#This Row],[WEIGHT]]*9.81),0)</f>
        <v>0.29908107340197243</v>
      </c>
      <c r="V536" s="24">
        <v>0</v>
      </c>
      <c r="W536" s="21">
        <f>ROUND(IF(IFERROR(PROPERTIES[[#This Row],[TE_COEFFICIENT_CALC]],0)=0,PROPERTIES[[#This Row],[TE_COEFFICIENT_MANUAL]],PROPERTIES[[#This Row],[TE_COEFFICIENT_CALC]]),3)</f>
        <v>0.29899999999999999</v>
      </c>
      <c r="X536" s="9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1">
        <f>INT(441/8)</f>
        <v>55</v>
      </c>
      <c r="Z536" s="7">
        <v>8</v>
      </c>
      <c r="AA536" t="s">
        <v>2015</v>
      </c>
      <c r="AB536" t="s">
        <v>2013</v>
      </c>
      <c r="AC536" t="s">
        <v>238</v>
      </c>
      <c r="AD536" s="2" t="s">
        <v>238</v>
      </c>
      <c r="AE536" s="2" t="s">
        <v>253</v>
      </c>
      <c r="AF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6" s="2" t="str">
        <f>SUBSTITUTE(SUBSTITUTE(PROPERTIES[[#This Row],[PURCHASECOST_VALUE]], "PURCHASECOST_", ""), "_VALUE", "")</f>
        <v>EMU</v>
      </c>
      <c r="AI536" s="7" t="str" cm="1">
        <f t="array" ref="AI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36" s="43" t="b">
        <v>0</v>
      </c>
      <c r="AK536" s="8" t="b">
        <v>0</v>
      </c>
      <c r="BB536"/>
      <c r="BC536"/>
      <c r="BD536"/>
    </row>
    <row r="537" spans="1:56">
      <c r="A537" s="2" t="s">
        <v>3250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5" t="str">
        <f>_xlfn.XLOOKUP(PROPERTIES[[#This Row],[VEHIDCODE]],CONTROL[VEHIDCODE],CONTROL[ENGLISH])</f>
        <v>Siemens Desiro BDZ</v>
      </c>
      <c r="F537" t="s">
        <v>589</v>
      </c>
      <c r="G537" s="45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7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8">
        <f>88/2</f>
        <v>44</v>
      </c>
      <c r="R537">
        <v>1740</v>
      </c>
      <c r="S537">
        <v>120</v>
      </c>
      <c r="T537" s="25">
        <v>0</v>
      </c>
      <c r="U537" s="24">
        <f>IFERROR(PROPERTIES[[#This Row],[TE_STARTING_KN]]/(PROPERTIES[[#This Row],[WEIGHT]]*9.81),0)</f>
        <v>0</v>
      </c>
      <c r="V537" s="24">
        <v>0.21</v>
      </c>
      <c r="W537" s="21">
        <f>ROUND(IF(IFERROR(PROPERTIES[[#This Row],[TE_COEFFICIENT_CALC]],0)=0,PROPERTIES[[#This Row],[TE_COEFFICIENT_MANUAL]],PROPERTIES[[#This Row],[TE_COEFFICIENT_CALC]]),3)</f>
        <v>0.21</v>
      </c>
      <c r="X537" s="9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1">
        <f>INT(190/2)</f>
        <v>95</v>
      </c>
      <c r="Z537" s="7">
        <v>8</v>
      </c>
      <c r="AA537" t="s">
        <v>245</v>
      </c>
      <c r="AB537" t="s">
        <v>238</v>
      </c>
      <c r="AC537" t="s">
        <v>238</v>
      </c>
      <c r="AD537" s="2" t="s">
        <v>238</v>
      </c>
      <c r="AE537" s="2" t="s">
        <v>253</v>
      </c>
      <c r="AF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7" s="2" t="str">
        <f>SUBSTITUTE(SUBSTITUTE(PROPERTIES[[#This Row],[PURCHASECOST_VALUE]], "PURCHASECOST_", ""), "_VALUE", "")</f>
        <v>EMU</v>
      </c>
      <c r="AI537" s="7" t="str" cm="1">
        <f t="array" ref="AI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7" s="43" t="b">
        <v>0</v>
      </c>
      <c r="AK537" s="8" t="b">
        <v>0</v>
      </c>
      <c r="BB537"/>
      <c r="BC537"/>
      <c r="BD537"/>
    </row>
    <row r="538" spans="1:56">
      <c r="A538" s="2" t="s">
        <v>3251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5" t="str">
        <f>_xlfn.XLOOKUP(PROPERTIES[[#This Row],[VEHIDCODE]],CONTROL[VEHIDCODE],CONTROL[ENGLISH])</f>
        <v>Valmet Sm2</v>
      </c>
      <c r="F538" t="s">
        <v>636</v>
      </c>
      <c r="G538" s="45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8">
        <f>(46.5+76)/2</f>
        <v>61.25</v>
      </c>
      <c r="R538">
        <v>818</v>
      </c>
      <c r="S538">
        <v>120</v>
      </c>
      <c r="T538" s="25">
        <f>85/2</f>
        <v>42.5</v>
      </c>
      <c r="U538" s="24">
        <f>IFERROR(PROPERTIES[[#This Row],[TE_STARTING_KN]]/(PROPERTIES[[#This Row],[WEIGHT]]*9.81),0)</f>
        <v>7.0731656577003879E-2</v>
      </c>
      <c r="V538" s="24">
        <v>0</v>
      </c>
      <c r="W538" s="21">
        <f>ROUND(IF(IFERROR(PROPERTIES[[#This Row],[TE_COEFFICIENT_CALC]],0)=0,PROPERTIES[[#This Row],[TE_COEFFICIENT_MANUAL]],PROPERTIES[[#This Row],[TE_COEFFICIENT_CALC]]),3)</f>
        <v>7.0999999999999994E-2</v>
      </c>
      <c r="X538" s="9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1">
        <v>100</v>
      </c>
      <c r="Z538" s="7">
        <v>8</v>
      </c>
      <c r="AA538" t="s">
        <v>243</v>
      </c>
      <c r="AB538" t="s">
        <v>238</v>
      </c>
      <c r="AC538" t="s">
        <v>238</v>
      </c>
      <c r="AD538" s="2" t="s">
        <v>238</v>
      </c>
      <c r="AE538" s="2" t="s">
        <v>253</v>
      </c>
      <c r="AF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8" s="2" t="str">
        <f>SUBSTITUTE(SUBSTITUTE(PROPERTIES[[#This Row],[PURCHASECOST_VALUE]], "PURCHASECOST_", ""), "_VALUE", "")</f>
        <v>EMU</v>
      </c>
      <c r="AI538" s="7" t="str" cm="1">
        <f t="array" ref="AI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8" s="43" t="b">
        <v>0</v>
      </c>
      <c r="AK538" s="8" t="b">
        <v>0</v>
      </c>
      <c r="BB538"/>
      <c r="BC538"/>
      <c r="BD538"/>
    </row>
    <row r="539" spans="1:56">
      <c r="A539" s="2" t="s">
        <v>3252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5" t="str">
        <f>_xlfn.XLOOKUP(PROPERTIES[[#This Row],[VEHIDCODE]],CONTROL[VEHIDCODE],CONTROL[ENGLISH])</f>
        <v>Fiat/CAF Sm4</v>
      </c>
      <c r="F539" t="s">
        <v>636</v>
      </c>
      <c r="G539" s="45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8">
        <v>57</v>
      </c>
      <c r="R539">
        <v>1636</v>
      </c>
      <c r="S539">
        <v>160</v>
      </c>
      <c r="T539" s="25">
        <v>0</v>
      </c>
      <c r="U539" s="24">
        <f>IFERROR(PROPERTIES[[#This Row],[TE_STARTING_KN]]/(PROPERTIES[[#This Row],[WEIGHT]]*9.81),0)</f>
        <v>0</v>
      </c>
      <c r="V539" s="24">
        <v>0.18</v>
      </c>
      <c r="W539" s="21">
        <f>ROUND(IF(IFERROR(PROPERTIES[[#This Row],[TE_COEFFICIENT_CALC]],0)=0,PROPERTIES[[#This Row],[TE_COEFFICIENT_MANUAL]],PROPERTIES[[#This Row],[TE_COEFFICIENT_CALC]]),3)</f>
        <v>0.18</v>
      </c>
      <c r="X539" s="9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1">
        <f>184/2</f>
        <v>92</v>
      </c>
      <c r="Z539" s="7">
        <v>8</v>
      </c>
      <c r="AA539" t="s">
        <v>243</v>
      </c>
      <c r="AB539" t="s">
        <v>238</v>
      </c>
      <c r="AC539" t="s">
        <v>238</v>
      </c>
      <c r="AD539" s="2" t="s">
        <v>238</v>
      </c>
      <c r="AE539" s="2" t="s">
        <v>253</v>
      </c>
      <c r="AF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9" s="2" t="str">
        <f>SUBSTITUTE(SUBSTITUTE(PROPERTIES[[#This Row],[PURCHASECOST_VALUE]], "PURCHASECOST_", ""), "_VALUE", "")</f>
        <v>EMU</v>
      </c>
      <c r="AI539" s="7" t="str" cm="1">
        <f t="array" ref="AI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9" s="43" t="b">
        <v>0</v>
      </c>
      <c r="AK539" s="8" t="b">
        <v>0</v>
      </c>
      <c r="BB539"/>
      <c r="BC539"/>
      <c r="BD539"/>
    </row>
    <row r="540" spans="1:56">
      <c r="A540" s="2" t="s">
        <v>3253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5" t="str">
        <f>_xlfn.XLOOKUP(PROPERTIES[[#This Row],[VEHIDCODE]],CONTROL[VEHIDCODE],CONTROL[ENGLISH])</f>
        <v>Ganz-MAVAG VM17 'BDVmot'</v>
      </c>
      <c r="F540" t="s">
        <v>665</v>
      </c>
      <c r="G540" s="45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8">
        <v>66</v>
      </c>
      <c r="R540">
        <v>2040</v>
      </c>
      <c r="S540">
        <v>120</v>
      </c>
      <c r="T540" s="25">
        <v>0</v>
      </c>
      <c r="U540" s="24">
        <f>IFERROR(PROPERTIES[[#This Row],[TE_STARTING_KN]]/(PROPERTIES[[#This Row],[WEIGHT]]*9.81),0)</f>
        <v>0</v>
      </c>
      <c r="V540" s="24">
        <v>0.11</v>
      </c>
      <c r="W540" s="21">
        <f>ROUND(IF(IFERROR(PROPERTIES[[#This Row],[TE_COEFFICIENT_CALC]],0)=0,PROPERTIES[[#This Row],[TE_COEFFICIENT_MANUAL]],PROPERTIES[[#This Row],[TE_COEFFICIENT_CALC]]),3)</f>
        <v>0.11</v>
      </c>
      <c r="X540" s="9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1">
        <f>INT(344/4)</f>
        <v>86</v>
      </c>
      <c r="Z540" s="7">
        <v>8</v>
      </c>
      <c r="AA540" t="s">
        <v>245</v>
      </c>
      <c r="AB540" t="s">
        <v>238</v>
      </c>
      <c r="AC540" t="s">
        <v>238</v>
      </c>
      <c r="AD540" s="2" t="s">
        <v>238</v>
      </c>
      <c r="AE540" s="2" t="s">
        <v>253</v>
      </c>
      <c r="AF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0" s="2" t="str">
        <f>SUBSTITUTE(SUBSTITUTE(PROPERTIES[[#This Row],[PURCHASECOST_VALUE]], "PURCHASECOST_", ""), "_VALUE", "")</f>
        <v>EMU</v>
      </c>
      <c r="AI540" s="7" t="str" cm="1">
        <f t="array" ref="AI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0" s="43" t="b">
        <v>0</v>
      </c>
      <c r="AK540" s="8" t="b">
        <v>0</v>
      </c>
      <c r="BB540"/>
      <c r="BC540"/>
      <c r="BD540"/>
    </row>
    <row r="541" spans="1:56">
      <c r="A541" s="2" t="s">
        <v>3254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5" t="str">
        <f>_xlfn.XLOOKUP(PROPERTIES[[#This Row],[VEHIDCODE]],CONTROL[VEHIDCODE],CONTROL[ENGLISH])</f>
        <v>ACME Corp. Sureot</v>
      </c>
      <c r="F541" t="s">
        <v>814</v>
      </c>
      <c r="G541" s="45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8">
        <v>50</v>
      </c>
      <c r="R541">
        <v>16000</v>
      </c>
      <c r="S541">
        <v>300</v>
      </c>
      <c r="T541" s="25">
        <v>0</v>
      </c>
      <c r="U541" s="24">
        <f>IFERROR(PROPERTIES[[#This Row],[TE_STARTING_KN]]/(PROPERTIES[[#This Row],[WEIGHT]]*9.81),0)</f>
        <v>0</v>
      </c>
      <c r="V541" s="24">
        <v>0.22</v>
      </c>
      <c r="W541" s="21">
        <f>ROUND(IF(IFERROR(PROPERTIES[[#This Row],[TE_COEFFICIENT_CALC]],0)=0,PROPERTIES[[#This Row],[TE_COEFFICIENT_MANUAL]],PROPERTIES[[#This Row],[TE_COEFFICIENT_CALC]]),3)</f>
        <v>0.22</v>
      </c>
      <c r="X541" s="9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1">
        <v>85</v>
      </c>
      <c r="Z541" s="7">
        <v>8</v>
      </c>
      <c r="AA541" t="s">
        <v>248</v>
      </c>
      <c r="AB541" t="s">
        <v>238</v>
      </c>
      <c r="AC541" t="s">
        <v>238</v>
      </c>
      <c r="AD541" s="2" t="s">
        <v>238</v>
      </c>
      <c r="AE541" s="2" t="s">
        <v>254</v>
      </c>
      <c r="AF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1" s="2" t="str">
        <f>SUBSTITUTE(SUBSTITUTE(PROPERTIES[[#This Row],[PURCHASECOST_VALUE]], "PURCHASECOST_", ""), "_VALUE", "")</f>
        <v>EMU</v>
      </c>
      <c r="AI541" s="7" t="str" cm="1">
        <f t="array" ref="AI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41" s="43" t="b">
        <v>0</v>
      </c>
      <c r="AK541" s="8" t="b">
        <v>0</v>
      </c>
      <c r="BB541"/>
      <c r="BC541"/>
      <c r="BD541"/>
    </row>
    <row r="542" spans="1:56">
      <c r="A542" s="2" t="s">
        <v>3255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5" t="str">
        <f>_xlfn.XLOOKUP(PROPERTIES[[#This Row],[VEHIDCODE]],CONTROL[VEHIDCODE],CONTROL[ENGLISH])</f>
        <v>Hitachi Shinkansen Series 0</v>
      </c>
      <c r="F542" t="s">
        <v>679</v>
      </c>
      <c r="G542" s="45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8">
        <v>59</v>
      </c>
      <c r="R542">
        <f>992*2</f>
        <v>1984</v>
      </c>
      <c r="S542">
        <v>210</v>
      </c>
      <c r="T542" s="25">
        <v>65</v>
      </c>
      <c r="U542" s="24">
        <f>IFERROR(PROPERTIES[[#This Row],[TE_STARTING_KN]]/(PROPERTIES[[#This Row],[WEIGHT]]*9.81),0)</f>
        <v>0.1123032533388621</v>
      </c>
      <c r="V542" s="24">
        <v>0</v>
      </c>
      <c r="W542" s="21">
        <f>ROUND(IF(IFERROR(PROPERTIES[[#This Row],[TE_COEFFICIENT_CALC]],0)=0,PROPERTIES[[#This Row],[TE_COEFFICIENT_MANUAL]],PROPERTIES[[#This Row],[TE_COEFFICIENT_CALC]]),3)</f>
        <v>0.112</v>
      </c>
      <c r="X542" s="9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1">
        <v>100</v>
      </c>
      <c r="Z542" s="7">
        <v>8</v>
      </c>
      <c r="AA542" t="s">
        <v>247</v>
      </c>
      <c r="AB542" t="s">
        <v>238</v>
      </c>
      <c r="AC542" t="s">
        <v>238</v>
      </c>
      <c r="AD542" s="2" t="s">
        <v>238</v>
      </c>
      <c r="AE542" s="2" t="s">
        <v>253</v>
      </c>
      <c r="AF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2" s="2" t="str">
        <f>SUBSTITUTE(SUBSTITUTE(PROPERTIES[[#This Row],[PURCHASECOST_VALUE]], "PURCHASECOST_", ""), "_VALUE", "")</f>
        <v>EMU</v>
      </c>
      <c r="AI542" s="7" t="str" cm="1">
        <f t="array" ref="AI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2" s="43" t="b">
        <v>0</v>
      </c>
      <c r="AK542" s="8" t="b">
        <v>0</v>
      </c>
      <c r="BB542"/>
      <c r="BC542"/>
      <c r="BD542"/>
    </row>
    <row r="543" spans="1:56">
      <c r="A543" s="2" t="s">
        <v>3256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5" t="str">
        <f>_xlfn.XLOOKUP(PROPERTIES[[#This Row],[VEHIDCODE]],CONTROL[VEHIDCODE],CONTROL[ENGLISH])</f>
        <v>Hitachi Shinkansen Series 700</v>
      </c>
      <c r="F543" t="s">
        <v>679</v>
      </c>
      <c r="G543" s="45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8">
        <v>45</v>
      </c>
      <c r="R543">
        <f>905*2</f>
        <v>1810</v>
      </c>
      <c r="S543">
        <v>270</v>
      </c>
      <c r="T543" s="25">
        <v>60</v>
      </c>
      <c r="U543" s="24">
        <f>IFERROR(PROPERTIES[[#This Row],[TE_STARTING_KN]]/(PROPERTIES[[#This Row],[WEIGHT]]*9.81),0)</f>
        <v>0.13591573224600745</v>
      </c>
      <c r="V543" s="24">
        <v>0</v>
      </c>
      <c r="W543" s="21">
        <f>ROUND(IF(IFERROR(PROPERTIES[[#This Row],[TE_COEFFICIENT_CALC]],0)=0,PROPERTIES[[#This Row],[TE_COEFFICIENT_MANUAL]],PROPERTIES[[#This Row],[TE_COEFFICIENT_CALC]]),3)</f>
        <v>0.13600000000000001</v>
      </c>
      <c r="X543" s="9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1">
        <v>100</v>
      </c>
      <c r="Z543" s="7">
        <v>8</v>
      </c>
      <c r="AA543" t="s">
        <v>247</v>
      </c>
      <c r="AB543" t="s">
        <v>238</v>
      </c>
      <c r="AC543" t="s">
        <v>238</v>
      </c>
      <c r="AD543" s="2" t="s">
        <v>238</v>
      </c>
      <c r="AE543" s="2" t="s">
        <v>253</v>
      </c>
      <c r="AF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3" s="2" t="str">
        <f>SUBSTITUTE(SUBSTITUTE(PROPERTIES[[#This Row],[PURCHASECOST_VALUE]], "PURCHASECOST_", ""), "_VALUE", "")</f>
        <v>EMU</v>
      </c>
      <c r="AI543" s="7" t="str" cm="1">
        <f t="array" ref="AI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3" s="43" t="b">
        <v>0</v>
      </c>
      <c r="AK543" s="8" t="b">
        <v>0</v>
      </c>
      <c r="BB543"/>
      <c r="BC543"/>
      <c r="BD543"/>
    </row>
    <row r="544" spans="1:56">
      <c r="A544" s="2" t="s">
        <v>3257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5" t="str">
        <f>_xlfn.XLOOKUP(PROPERTIES[[#This Row],[VEHIDCODE]],CONTROL[VEHIDCODE],CONTROL[ENGLISH])</f>
        <v>Hitachi/Kawasaki Shinkansen Series E1 Max</v>
      </c>
      <c r="F544" t="s">
        <v>679</v>
      </c>
      <c r="G544" s="45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8">
        <v>59.2</v>
      </c>
      <c r="R544">
        <f>1395*2</f>
        <v>2790</v>
      </c>
      <c r="S544">
        <v>240</v>
      </c>
      <c r="T544" s="25">
        <v>80</v>
      </c>
      <c r="U544" s="24">
        <f>IFERROR(PROPERTIES[[#This Row],[TE_STARTING_KN]]/(PROPERTIES[[#This Row],[WEIGHT]]*9.81),0)</f>
        <v>0.13775243133041296</v>
      </c>
      <c r="V544" s="24">
        <v>0</v>
      </c>
      <c r="W544" s="21">
        <f>ROUND(IF(IFERROR(PROPERTIES[[#This Row],[TE_COEFFICIENT_CALC]],0)=0,PROPERTIES[[#This Row],[TE_COEFFICIENT_MANUAL]],PROPERTIES[[#This Row],[TE_COEFFICIENT_CALC]]),3)</f>
        <v>0.13800000000000001</v>
      </c>
      <c r="X544" s="9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1">
        <v>103</v>
      </c>
      <c r="Z544" s="7">
        <v>8</v>
      </c>
      <c r="AA544" t="s">
        <v>247</v>
      </c>
      <c r="AB544" t="s">
        <v>238</v>
      </c>
      <c r="AC544" t="s">
        <v>238</v>
      </c>
      <c r="AD544" s="2" t="s">
        <v>238</v>
      </c>
      <c r="AE544" s="2" t="s">
        <v>253</v>
      </c>
      <c r="AF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4" s="2" t="str">
        <f>SUBSTITUTE(SUBSTITUTE(PROPERTIES[[#This Row],[PURCHASECOST_VALUE]], "PURCHASECOST_", ""), "_VALUE", "")</f>
        <v>EMU</v>
      </c>
      <c r="AI544" s="7" t="str" cm="1">
        <f t="array" ref="AI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4" s="43" t="b">
        <v>0</v>
      </c>
      <c r="AK544" s="8" t="b">
        <v>0</v>
      </c>
      <c r="BB544"/>
      <c r="BC544"/>
      <c r="BD544"/>
    </row>
    <row r="545" spans="1:56">
      <c r="A545" s="2" t="s">
        <v>3258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5" t="str">
        <f>_xlfn.XLOOKUP(PROPERTIES[[#This Row],[VEHIDCODE]],CONTROL[VEHIDCODE],CONTROL[ENGLISH])</f>
        <v>Alstom 'Coradia Duplex'</v>
      </c>
      <c r="F545" t="s">
        <v>699</v>
      </c>
      <c r="G545" s="45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8">
        <v>64</v>
      </c>
      <c r="R545">
        <v>3410</v>
      </c>
      <c r="S545">
        <v>160</v>
      </c>
      <c r="T545" s="25">
        <f>240/2</f>
        <v>120</v>
      </c>
      <c r="U545" s="24">
        <f>IFERROR(PROPERTIES[[#This Row],[TE_STARTING_KN]]/(PROPERTIES[[#This Row],[WEIGHT]]*9.81),0)</f>
        <v>0.19113149847094801</v>
      </c>
      <c r="V545" s="24">
        <v>0</v>
      </c>
      <c r="W545" s="21">
        <f>ROUND(IF(IFERROR(PROPERTIES[[#This Row],[TE_COEFFICIENT_CALC]],0)=0,PROPERTIES[[#This Row],[TE_COEFFICIENT_MANUAL]],PROPERTIES[[#This Row],[TE_COEFFICIENT_CALC]]),3)</f>
        <v>0.191</v>
      </c>
      <c r="X545" s="9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1">
        <v>111</v>
      </c>
      <c r="Z545" s="7">
        <v>8</v>
      </c>
      <c r="AA545" t="s">
        <v>2015</v>
      </c>
      <c r="AB545" t="s">
        <v>238</v>
      </c>
      <c r="AC545" t="s">
        <v>238</v>
      </c>
      <c r="AD545" s="2" t="s">
        <v>238</v>
      </c>
      <c r="AE545" s="2" t="s">
        <v>253</v>
      </c>
      <c r="AF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5" s="2" t="str">
        <f>SUBSTITUTE(SUBSTITUTE(PROPERTIES[[#This Row],[PURCHASECOST_VALUE]], "PURCHASECOST_", ""), "_VALUE", "")</f>
        <v>EMU</v>
      </c>
      <c r="AI545" s="7" t="str" cm="1">
        <f t="array" ref="AI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5" s="43" t="b">
        <v>0</v>
      </c>
      <c r="AK545" s="8" t="b">
        <v>0</v>
      </c>
      <c r="BB545"/>
      <c r="BC545"/>
      <c r="BD545"/>
    </row>
    <row r="546" spans="1:56">
      <c r="A546" s="2" t="s">
        <v>3259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5" t="str">
        <f>_xlfn.XLOOKUP(PROPERTIES[[#This Row],[VEHIDCODE]],CONTROL[VEHIDCODE],CONTROL[ENGLISH])</f>
        <v>RVR ER31</v>
      </c>
      <c r="F546" t="s">
        <v>709</v>
      </c>
      <c r="G546" s="45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8">
        <v>55</v>
      </c>
      <c r="R546">
        <v>340</v>
      </c>
      <c r="S546">
        <v>120</v>
      </c>
      <c r="T546" s="25">
        <v>0</v>
      </c>
      <c r="U546" s="24">
        <f>IFERROR(PROPERTIES[[#This Row],[TE_STARTING_KN]]/(PROPERTIES[[#This Row],[WEIGHT]]*9.81),0)</f>
        <v>0</v>
      </c>
      <c r="V546" s="24">
        <v>0.15</v>
      </c>
      <c r="W546" s="21">
        <f>ROUND(IF(IFERROR(PROPERTIES[[#This Row],[TE_COEFFICIENT_CALC]],0)=0,PROPERTIES[[#This Row],[TE_COEFFICIENT_MANUAL]],PROPERTIES[[#This Row],[TE_COEFFICIENT_CALC]]),3)</f>
        <v>0.15</v>
      </c>
      <c r="X546" s="9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1">
        <v>68</v>
      </c>
      <c r="Z546" s="7">
        <v>8</v>
      </c>
      <c r="AA546" t="s">
        <v>240</v>
      </c>
      <c r="AB546" t="s">
        <v>238</v>
      </c>
      <c r="AC546" t="s">
        <v>238</v>
      </c>
      <c r="AD546" s="2" t="s">
        <v>238</v>
      </c>
      <c r="AE546" s="2" t="s">
        <v>253</v>
      </c>
      <c r="AF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6" s="2" t="str">
        <f>SUBSTITUTE(SUBSTITUTE(PROPERTIES[[#This Row],[PURCHASECOST_VALUE]], "PURCHASECOST_", ""), "_VALUE", "")</f>
        <v>EMU</v>
      </c>
      <c r="AI546" s="7" t="str" cm="1">
        <f t="array" ref="AI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6" s="43" t="b">
        <v>0</v>
      </c>
      <c r="AK546" s="8" t="b">
        <v>0</v>
      </c>
      <c r="BB546"/>
      <c r="BC546"/>
      <c r="BD546"/>
    </row>
    <row r="547" spans="1:56">
      <c r="A547" s="2" t="s">
        <v>3526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5" t="str">
        <f>_xlfn.XLOOKUP(PROPERTIES[[#This Row],[VEHIDCODE]],CONTROL[VEHIDCODE],CONTROL[ENGLISH])</f>
        <v>Carel et Fouche/Alsthom Z 6100</v>
      </c>
      <c r="F547" t="s">
        <v>753</v>
      </c>
      <c r="G547" s="45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8">
        <v>35</v>
      </c>
      <c r="R547">
        <v>824</v>
      </c>
      <c r="S547">
        <v>120</v>
      </c>
      <c r="T547" s="25">
        <v>73.5</v>
      </c>
      <c r="U547" s="24">
        <f>IFERROR(PROPERTIES[[#This Row],[TE_STARTING_KN]]/(PROPERTIES[[#This Row],[WEIGHT]]*9.81),0)</f>
        <v>0.21406727828746175</v>
      </c>
      <c r="V547" s="24">
        <v>0</v>
      </c>
      <c r="W547" s="21">
        <f>ROUND(IF(IFERROR(PROPERTIES[[#This Row],[TE_COEFFICIENT_CALC]],0)=0,PROPERTIES[[#This Row],[TE_COEFFICIENT_MANUAL]],PROPERTIES[[#This Row],[TE_COEFFICIENT_CALC]]),3)</f>
        <v>0.214</v>
      </c>
      <c r="X547" s="9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1">
        <f>INT(273/4)</f>
        <v>68</v>
      </c>
      <c r="Z547" s="7">
        <v>8</v>
      </c>
      <c r="AA547" t="s">
        <v>245</v>
      </c>
      <c r="AB547" t="s">
        <v>239</v>
      </c>
      <c r="AC547" t="s">
        <v>238</v>
      </c>
      <c r="AD547" s="2" t="s">
        <v>238</v>
      </c>
      <c r="AE547" s="2" t="s">
        <v>253</v>
      </c>
      <c r="AF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7" s="2" t="str">
        <f>SUBSTITUTE(SUBSTITUTE(PROPERTIES[[#This Row],[PURCHASECOST_VALUE]], "PURCHASECOST_", ""), "_VALUE", "")</f>
        <v>EMU</v>
      </c>
      <c r="AI547" s="7" t="str" cm="1">
        <f t="array" ref="AI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7" s="43" t="b">
        <v>0</v>
      </c>
      <c r="AK547" s="8" t="b">
        <v>0</v>
      </c>
      <c r="BB547"/>
      <c r="BC547"/>
      <c r="BD547"/>
    </row>
    <row r="548" spans="1:56">
      <c r="A548" s="2" t="s">
        <v>3260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5" t="str">
        <f>_xlfn.XLOOKUP(PROPERTIES[[#This Row],[VEHIDCODE]],CONTROL[VEHIDCODE],CONTROL[ENGLISH])</f>
        <v>Bombardier/UCW Electrostar 'Gautrain'</v>
      </c>
      <c r="F548" t="s">
        <v>810</v>
      </c>
      <c r="G548" s="45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8">
        <v>42</v>
      </c>
      <c r="R548">
        <v>2253</v>
      </c>
      <c r="S548">
        <v>160</v>
      </c>
      <c r="T548" s="25">
        <f>150/2</f>
        <v>75</v>
      </c>
      <c r="U548" s="24">
        <f>IFERROR(PROPERTIES[[#This Row],[TE_STARTING_KN]]/(PROPERTIES[[#This Row],[WEIGHT]]*9.81),0)</f>
        <v>0.18202999854376001</v>
      </c>
      <c r="V548" s="24">
        <v>0</v>
      </c>
      <c r="W548" s="21">
        <f>ROUND(IF(IFERROR(PROPERTIES[[#This Row],[TE_COEFFICIENT_CALC]],0)=0,PROPERTIES[[#This Row],[TE_COEFFICIENT_MANUAL]],PROPERTIES[[#This Row],[TE_COEFFICIENT_CALC]]),3)</f>
        <v>0.182</v>
      </c>
      <c r="X548" s="9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1">
        <v>64</v>
      </c>
      <c r="Z548" s="7">
        <v>8</v>
      </c>
      <c r="AA548" t="s">
        <v>242</v>
      </c>
      <c r="AB548" t="s">
        <v>238</v>
      </c>
      <c r="AC548" t="s">
        <v>238</v>
      </c>
      <c r="AD548" s="2" t="s">
        <v>238</v>
      </c>
      <c r="AE548" s="2" t="s">
        <v>253</v>
      </c>
      <c r="AF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8" s="2" t="str">
        <f>SUBSTITUTE(SUBSTITUTE(PROPERTIES[[#This Row],[PURCHASECOST_VALUE]], "PURCHASECOST_", ""), "_VALUE", "")</f>
        <v>EMU</v>
      </c>
      <c r="AI548" s="7" t="str" cm="1">
        <f t="array" ref="AI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8" s="43" t="b">
        <v>0</v>
      </c>
      <c r="AK548" s="8" t="b">
        <v>0</v>
      </c>
      <c r="BB548"/>
      <c r="BC548"/>
      <c r="BD548"/>
    </row>
    <row r="549" spans="1:56">
      <c r="A549" s="2" t="s">
        <v>3261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5" t="str">
        <f>_xlfn.XLOOKUP(PROPERTIES[[#This Row],[VEHIDCODE]],CONTROL[VEHIDCODE],CONTROL[ENGLISH])</f>
        <v>Alsthom/Jeumont TCDD E8000</v>
      </c>
      <c r="F549" t="s">
        <v>1066</v>
      </c>
      <c r="G549" s="45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8">
        <v>40</v>
      </c>
      <c r="R549">
        <v>1100</v>
      </c>
      <c r="S549">
        <v>90</v>
      </c>
      <c r="T549" s="25">
        <f>140/2</f>
        <v>70</v>
      </c>
      <c r="U549" s="24">
        <f>IFERROR(PROPERTIES[[#This Row],[TE_STARTING_KN]]/(PROPERTIES[[#This Row],[WEIGHT]]*9.81),0)</f>
        <v>0.1783893985728848</v>
      </c>
      <c r="V549" s="24">
        <v>0</v>
      </c>
      <c r="W549" s="21">
        <f>ROUND(IF(IFERROR(PROPERTIES[[#This Row],[TE_COEFFICIENT_CALC]],0)=0,PROPERTIES[[#This Row],[TE_COEFFICIENT_MANUAL]],PROPERTIES[[#This Row],[TE_COEFFICIENT_CALC]]),3)</f>
        <v>0.17799999999999999</v>
      </c>
      <c r="X549" s="9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1">
        <v>81</v>
      </c>
      <c r="Z549" s="7">
        <v>8</v>
      </c>
      <c r="AA549" t="s">
        <v>2013</v>
      </c>
      <c r="AB549" t="s">
        <v>238</v>
      </c>
      <c r="AC549" t="s">
        <v>238</v>
      </c>
      <c r="AD549" s="2" t="s">
        <v>238</v>
      </c>
      <c r="AE549" s="2" t="s">
        <v>253</v>
      </c>
      <c r="AF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9" s="2" t="str">
        <f>SUBSTITUTE(SUBSTITUTE(PROPERTIES[[#This Row],[PURCHASECOST_VALUE]], "PURCHASECOST_", ""), "_VALUE", "")</f>
        <v>EMU</v>
      </c>
      <c r="AI549" s="7" t="str" cm="1">
        <f t="array" ref="AI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9" s="43" t="b">
        <v>0</v>
      </c>
      <c r="AK549" s="8" t="b">
        <v>0</v>
      </c>
      <c r="BB549"/>
      <c r="BC549"/>
      <c r="BD549"/>
    </row>
    <row r="550" spans="1:56">
      <c r="A550" s="2" t="s">
        <v>3262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5" t="str">
        <f>_xlfn.XLOOKUP(PROPERTIES[[#This Row],[VEHIDCODE]],CONTROL[VEHIDCODE],CONTROL[ENGLISH])</f>
        <v>CSR Qingdao CHR380A</v>
      </c>
      <c r="F550" t="s">
        <v>614</v>
      </c>
      <c r="G550" s="45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8">
        <v>48</v>
      </c>
      <c r="R550">
        <f>12840/8*2</f>
        <v>3210</v>
      </c>
      <c r="S550">
        <v>350</v>
      </c>
      <c r="T550" s="25">
        <v>60</v>
      </c>
      <c r="U550" s="24">
        <f>IFERROR(PROPERTIES[[#This Row],[TE_STARTING_KN]]/(PROPERTIES[[#This Row],[WEIGHT]]*9.81),0)</f>
        <v>0.127420998980632</v>
      </c>
      <c r="V550" s="24">
        <v>0</v>
      </c>
      <c r="W550" s="21">
        <f>ROUND(IF(IFERROR(PROPERTIES[[#This Row],[TE_COEFFICIENT_CALC]],0)=0,PROPERTIES[[#This Row],[TE_COEFFICIENT_MANUAL]],PROPERTIES[[#This Row],[TE_COEFFICIENT_CALC]]),3)</f>
        <v>0.127</v>
      </c>
      <c r="X550" s="9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1">
        <v>70</v>
      </c>
      <c r="Z550" s="7">
        <v>8</v>
      </c>
      <c r="AA550" t="s">
        <v>247</v>
      </c>
      <c r="AB550" t="s">
        <v>238</v>
      </c>
      <c r="AC550" t="s">
        <v>238</v>
      </c>
      <c r="AD550" s="2" t="s">
        <v>238</v>
      </c>
      <c r="AE550" s="2" t="s">
        <v>253</v>
      </c>
      <c r="AF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0" s="2" t="str">
        <f>SUBSTITUTE(SUBSTITUTE(PROPERTIES[[#This Row],[PURCHASECOST_VALUE]], "PURCHASECOST_", ""), "_VALUE", "")</f>
        <v>EMU</v>
      </c>
      <c r="AI550" s="7" t="str" cm="1">
        <f t="array" ref="AI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0" s="43" t="b">
        <v>0</v>
      </c>
      <c r="AK550" s="8" t="b">
        <v>0</v>
      </c>
      <c r="BB550"/>
      <c r="BC550"/>
      <c r="BD550"/>
    </row>
    <row r="551" spans="1:56">
      <c r="A551" s="2" t="s">
        <v>3263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5" t="str">
        <f>_xlfn.XLOOKUP(PROPERTIES[[#This Row],[VEHIDCODE]],CONTROL[VEHIDCODE],CONTROL[ENGLISH])</f>
        <v>PRR MP54</v>
      </c>
      <c r="F551" t="s">
        <v>796</v>
      </c>
      <c r="G551" s="45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8">
        <v>54</v>
      </c>
      <c r="R551">
        <v>450</v>
      </c>
      <c r="S551">
        <v>105</v>
      </c>
      <c r="T551" s="25">
        <v>80</v>
      </c>
      <c r="U551" s="24">
        <f>IFERROR(PROPERTIES[[#This Row],[TE_STARTING_KN]]/(PROPERTIES[[#This Row],[WEIGHT]]*9.81),0)</f>
        <v>0.15101748027334164</v>
      </c>
      <c r="V551" s="24">
        <v>0</v>
      </c>
      <c r="W551" s="21">
        <f>ROUND(IF(IFERROR(PROPERTIES[[#This Row],[TE_COEFFICIENT_CALC]],0)=0,PROPERTIES[[#This Row],[TE_COEFFICIENT_MANUAL]],PROPERTIES[[#This Row],[TE_COEFFICIENT_CALC]]),3)</f>
        <v>0.151</v>
      </c>
      <c r="X551" s="9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1">
        <v>72</v>
      </c>
      <c r="Z551" s="7">
        <v>8</v>
      </c>
      <c r="AA551" t="s">
        <v>244</v>
      </c>
      <c r="AB551" t="s">
        <v>238</v>
      </c>
      <c r="AC551" t="s">
        <v>238</v>
      </c>
      <c r="AD551" s="2" t="s">
        <v>238</v>
      </c>
      <c r="AE551" s="2" t="s">
        <v>253</v>
      </c>
      <c r="AF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1" s="2" t="str">
        <f>SUBSTITUTE(SUBSTITUTE(PROPERTIES[[#This Row],[PURCHASECOST_VALUE]], "PURCHASECOST_", ""), "_VALUE", "")</f>
        <v>EMU</v>
      </c>
      <c r="AI551" s="7" t="str" cm="1">
        <f t="array" ref="AI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1" s="43" t="b">
        <v>0</v>
      </c>
      <c r="AK551" s="8" t="b">
        <v>1</v>
      </c>
      <c r="BB551"/>
      <c r="BC551"/>
      <c r="BD551"/>
    </row>
    <row r="552" spans="1:56">
      <c r="A552" s="2" t="s">
        <v>3264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5" t="str">
        <f>_xlfn.XLOOKUP(PROPERTIES[[#This Row],[VEHIDCODE]],CONTROL[VEHIDCODE],CONTROL[ENGLISH])</f>
        <v>Alstom AGV</v>
      </c>
      <c r="F552" t="s">
        <v>675</v>
      </c>
      <c r="G552" s="45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8">
        <f>272/7</f>
        <v>38.857142857142854</v>
      </c>
      <c r="R552">
        <f>1020*2</f>
        <v>2040</v>
      </c>
      <c r="S552">
        <v>360</v>
      </c>
      <c r="T552" s="25">
        <v>30</v>
      </c>
      <c r="U552" s="24">
        <f>IFERROR(PROPERTIES[[#This Row],[TE_STARTING_KN]]/(PROPERTIES[[#This Row],[WEIGHT]]*9.81),0)</f>
        <v>7.8701205252743295E-2</v>
      </c>
      <c r="V552" s="24">
        <v>0</v>
      </c>
      <c r="W552" s="21">
        <f>ROUND(IF(IFERROR(PROPERTIES[[#This Row],[TE_COEFFICIENT_CALC]],0)=0,PROPERTIES[[#This Row],[TE_COEFFICIENT_MANUAL]],PROPERTIES[[#This Row],[TE_COEFFICIENT_CALC]]),3)</f>
        <v>7.9000000000000001E-2</v>
      </c>
      <c r="X552" s="9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1">
        <v>42</v>
      </c>
      <c r="Z552" s="7">
        <v>7</v>
      </c>
      <c r="AA552" t="s">
        <v>240</v>
      </c>
      <c r="AB552" t="s">
        <v>238</v>
      </c>
      <c r="AC552" t="s">
        <v>238</v>
      </c>
      <c r="AD552" s="2" t="s">
        <v>238</v>
      </c>
      <c r="AE552" s="2" t="s">
        <v>253</v>
      </c>
      <c r="AF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2" s="2" t="str">
        <f>SUBSTITUTE(SUBSTITUTE(PROPERTIES[[#This Row],[PURCHASECOST_VALUE]], "PURCHASECOST_", ""), "_VALUE", "")</f>
        <v>EMU</v>
      </c>
      <c r="AI552" s="7" t="str" cm="1">
        <f t="array" ref="AI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2" s="43" t="b">
        <v>0</v>
      </c>
      <c r="AK552" s="8" t="b">
        <v>0</v>
      </c>
      <c r="BB552"/>
      <c r="BC552"/>
      <c r="BD552"/>
    </row>
    <row r="553" spans="1:56">
      <c r="A553" s="2" t="s">
        <v>3265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5" t="str">
        <f>_xlfn.XLOOKUP(PROPERTIES[[#This Row],[VEHIDCODE]],CONTROL[VEHIDCODE],CONTROL[ENGLISH])</f>
        <v>Alstom Avelia Horizon</v>
      </c>
      <c r="F553" t="s">
        <v>675</v>
      </c>
      <c r="G553" s="45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8">
        <v>44</v>
      </c>
      <c r="R553">
        <f>INT(9000*1.38/8)*2</f>
        <v>3104</v>
      </c>
      <c r="S553">
        <v>360</v>
      </c>
      <c r="T553" s="25">
        <v>200</v>
      </c>
      <c r="U553" s="24">
        <f>IFERROR(PROPERTIES[[#This Row],[TE_STARTING_KN]]/(PROPERTIES[[#This Row],[WEIGHT]]*9.81),0)</f>
        <v>0.46334908720229817</v>
      </c>
      <c r="V553" s="24">
        <v>0</v>
      </c>
      <c r="W553" s="21">
        <f>ROUND(IF(IFERROR(PROPERTIES[[#This Row],[TE_COEFFICIENT_CALC]],0)=0,PROPERTIES[[#This Row],[TE_COEFFICIENT_MANUAL]],PROPERTIES[[#This Row],[TE_COEFFICIENT_CALC]]),3)</f>
        <v>0.46300000000000002</v>
      </c>
      <c r="X553" s="9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1">
        <v>100</v>
      </c>
      <c r="Z553" s="7">
        <v>7</v>
      </c>
      <c r="AA553" t="s">
        <v>240</v>
      </c>
      <c r="AB553" t="s">
        <v>242</v>
      </c>
      <c r="AC553" t="s">
        <v>238</v>
      </c>
      <c r="AD553" s="2" t="s">
        <v>238</v>
      </c>
      <c r="AE553" s="2" t="s">
        <v>254</v>
      </c>
      <c r="AF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3" s="2" t="str">
        <f>SUBSTITUTE(SUBSTITUTE(PROPERTIES[[#This Row],[PURCHASECOST_VALUE]], "PURCHASECOST_", ""), "_VALUE", "")</f>
        <v>EMU</v>
      </c>
      <c r="AI553" s="7" t="str" cm="1">
        <f t="array" ref="AI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3" s="43" t="b">
        <v>0</v>
      </c>
      <c r="AK553" s="8" t="b">
        <v>0</v>
      </c>
      <c r="BB553"/>
      <c r="BC553"/>
      <c r="BD553"/>
    </row>
    <row r="554" spans="1:56">
      <c r="A554" s="2" t="s">
        <v>3266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5" t="str">
        <f>_xlfn.XLOOKUP(PROPERTIES[[#This Row],[VEHIDCODE]],CONTROL[VEHIDCODE],CONTROL[ENGLISH])</f>
        <v>AnsaldoBreda V250 'Albatros'</v>
      </c>
      <c r="F554" t="s">
        <v>731</v>
      </c>
      <c r="G554" s="45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8">
        <v>61</v>
      </c>
      <c r="R554">
        <f>1810*2</f>
        <v>3620</v>
      </c>
      <c r="S554">
        <v>251</v>
      </c>
      <c r="T554" s="25">
        <f>300/2</f>
        <v>150</v>
      </c>
      <c r="U554" s="24">
        <f>IFERROR(PROPERTIES[[#This Row],[TE_STARTING_KN]]/(PROPERTIES[[#This Row],[WEIGHT]]*9.81),0)</f>
        <v>0.25066426028976785</v>
      </c>
      <c r="V554" s="24">
        <v>0</v>
      </c>
      <c r="W554" s="21">
        <f>ROUND(IF(IFERROR(PROPERTIES[[#This Row],[TE_COEFFICIENT_CALC]],0)=0,PROPERTIES[[#This Row],[TE_COEFFICIENT_MANUAL]],PROPERTIES[[#This Row],[TE_COEFFICIENT_CALC]]),3)</f>
        <v>0.251</v>
      </c>
      <c r="X554" s="9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1">
        <v>71</v>
      </c>
      <c r="Z554" s="7">
        <v>8</v>
      </c>
      <c r="AA554" t="s">
        <v>239</v>
      </c>
      <c r="AB554" t="s">
        <v>238</v>
      </c>
      <c r="AC554" t="s">
        <v>238</v>
      </c>
      <c r="AD554" s="2" t="s">
        <v>238</v>
      </c>
      <c r="AE554" s="2" t="s">
        <v>253</v>
      </c>
      <c r="AF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4" s="2" t="str">
        <f>SUBSTITUTE(SUBSTITUTE(PROPERTIES[[#This Row],[PURCHASECOST_VALUE]], "PURCHASECOST_", ""), "_VALUE", "")</f>
        <v>EMU</v>
      </c>
      <c r="AI554" s="7" t="str" cm="1">
        <f t="array" ref="AI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4" s="43" t="b">
        <v>0</v>
      </c>
      <c r="AK554" s="8" t="b">
        <v>0</v>
      </c>
      <c r="BB554"/>
      <c r="BC554"/>
      <c r="BD554"/>
    </row>
    <row r="555" spans="1:56">
      <c r="A555" s="2" t="s">
        <v>3267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5" t="str">
        <f>_xlfn.XLOOKUP(PROPERTIES[[#This Row],[VEHIDCODE]],CONTROL[VEHIDCODE],CONTROL[ENGLISH])</f>
        <v>NS 4800 HSA 'Fyra'</v>
      </c>
      <c r="F555" t="s">
        <v>731</v>
      </c>
      <c r="G555" s="45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8">
        <v>52</v>
      </c>
      <c r="R555">
        <f>2213*2</f>
        <v>4426</v>
      </c>
      <c r="S555">
        <v>300</v>
      </c>
      <c r="T555" s="25">
        <v>150</v>
      </c>
      <c r="U555" s="24">
        <f>IFERROR(PROPERTIES[[#This Row],[TE_STARTING_KN]]/(PROPERTIES[[#This Row],[WEIGHT]]*9.81),0)</f>
        <v>0.29404845918607386</v>
      </c>
      <c r="V555" s="24">
        <v>0</v>
      </c>
      <c r="W555" s="21">
        <f>ROUND(IF(IFERROR(PROPERTIES[[#This Row],[TE_COEFFICIENT_CALC]],0)=0,PROPERTIES[[#This Row],[TE_COEFFICIENT_MANUAL]],PROPERTIES[[#This Row],[TE_COEFFICIENT_CALC]]),3)</f>
        <v>0.29399999999999998</v>
      </c>
      <c r="X555" s="9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1">
        <v>42</v>
      </c>
      <c r="Z555" s="7">
        <v>8</v>
      </c>
      <c r="AA555" t="s">
        <v>239</v>
      </c>
      <c r="AB555" t="s">
        <v>238</v>
      </c>
      <c r="AC555" t="s">
        <v>238</v>
      </c>
      <c r="AD555" s="2" t="s">
        <v>238</v>
      </c>
      <c r="AE555" s="2" t="s">
        <v>254</v>
      </c>
      <c r="AF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5" s="2" t="str">
        <f>SUBSTITUTE(SUBSTITUTE(PROPERTIES[[#This Row],[PURCHASECOST_VALUE]], "PURCHASECOST_", ""), "_VALUE", "")</f>
        <v>EMU</v>
      </c>
      <c r="AI555" s="7" t="str" cm="1">
        <f t="array" ref="AI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5" s="43" t="b">
        <v>0</v>
      </c>
      <c r="AK555" s="8" t="b">
        <v>0</v>
      </c>
      <c r="BB555"/>
      <c r="BC555"/>
      <c r="BD555"/>
    </row>
    <row r="556" spans="1:56">
      <c r="A556" s="2" t="s">
        <v>3268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5" t="str">
        <f>_xlfn.XLOOKUP(PROPERTIES[[#This Row],[VEHIDCODE]],CONTROL[VEHIDCODE],CONTROL[ENGLISH])</f>
        <v>SIG Rae TEE II</v>
      </c>
      <c r="F556" t="s">
        <v>609</v>
      </c>
      <c r="G556" s="45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8">
        <f>296/6</f>
        <v>49.333333333333336</v>
      </c>
      <c r="R556">
        <v>3100</v>
      </c>
      <c r="S556">
        <v>160</v>
      </c>
      <c r="T556" s="25">
        <f>188/2</f>
        <v>94</v>
      </c>
      <c r="U556" s="24">
        <f>IFERROR(PROPERTIES[[#This Row],[TE_STARTING_KN]]/(PROPERTIES[[#This Row],[WEIGHT]]*9.81),0)</f>
        <v>0.19423092817588228</v>
      </c>
      <c r="V556" s="24">
        <v>0</v>
      </c>
      <c r="W556" s="21">
        <f>ROUND(IF(IFERROR(PROPERTIES[[#This Row],[TE_COEFFICIENT_CALC]],0)=0,PROPERTIES[[#This Row],[TE_COEFFICIENT_MANUAL]],PROPERTIES[[#This Row],[TE_COEFFICIENT_CALC]]),3)</f>
        <v>0.19400000000000001</v>
      </c>
      <c r="X556" s="9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1">
        <f>INT(168+126+54)/6</f>
        <v>58</v>
      </c>
      <c r="Z556" s="7">
        <v>8</v>
      </c>
      <c r="AA556" t="s">
        <v>239</v>
      </c>
      <c r="AB556" t="s">
        <v>238</v>
      </c>
      <c r="AC556" t="s">
        <v>238</v>
      </c>
      <c r="AD556" s="2" t="s">
        <v>238</v>
      </c>
      <c r="AE556" s="2" t="s">
        <v>253</v>
      </c>
      <c r="AF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6" s="2" t="str">
        <f>SUBSTITUTE(SUBSTITUTE(PROPERTIES[[#This Row],[PURCHASECOST_VALUE]], "PURCHASECOST_", ""), "_VALUE", "")</f>
        <v>EMU</v>
      </c>
      <c r="AI556" s="7" t="str" cm="1">
        <f t="array" ref="AI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6" s="43" t="b">
        <v>0</v>
      </c>
      <c r="AK556" s="8" t="b">
        <v>0</v>
      </c>
      <c r="BB556"/>
      <c r="BC556"/>
      <c r="BD556"/>
    </row>
    <row r="557" spans="1:56">
      <c r="A557" s="2" t="s">
        <v>3269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5" t="str">
        <f>_xlfn.XLOOKUP(PROPERTIES[[#This Row],[VEHIDCODE]],CONTROL[VEHIDCODE],CONTROL[ENGLISH])</f>
        <v>Pullman Erie Lackawanna 2500 Series</v>
      </c>
      <c r="F557" t="s">
        <v>796</v>
      </c>
      <c r="G557" s="45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8">
        <v>61</v>
      </c>
      <c r="R557">
        <v>1020</v>
      </c>
      <c r="S557">
        <v>101</v>
      </c>
      <c r="T557" s="25">
        <v>135</v>
      </c>
      <c r="U557" s="24">
        <f>IFERROR(PROPERTIES[[#This Row],[TE_STARTING_KN]]/(PROPERTIES[[#This Row],[WEIGHT]]*9.81),0)</f>
        <v>0.22559783426079105</v>
      </c>
      <c r="V557" s="24">
        <v>0</v>
      </c>
      <c r="W557" s="21">
        <f>ROUND(IF(IFERROR(PROPERTIES[[#This Row],[TE_COEFFICIENT_CALC]],0)=0,PROPERTIES[[#This Row],[TE_COEFFICIENT_MANUAL]],PROPERTIES[[#This Row],[TE_COEFFICIENT_CALC]]),3)</f>
        <v>0.22600000000000001</v>
      </c>
      <c r="X557" s="9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1">
        <v>84</v>
      </c>
      <c r="Z557" s="7">
        <v>8</v>
      </c>
      <c r="AA557" t="s">
        <v>244</v>
      </c>
      <c r="AB557" t="s">
        <v>238</v>
      </c>
      <c r="AC557" t="s">
        <v>238</v>
      </c>
      <c r="AD557" s="2" t="s">
        <v>238</v>
      </c>
      <c r="AE557" s="2" t="s">
        <v>253</v>
      </c>
      <c r="AF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7" s="2" t="str">
        <f>SUBSTITUTE(SUBSTITUTE(PROPERTIES[[#This Row],[PURCHASECOST_VALUE]], "PURCHASECOST_", ""), "_VALUE", "")</f>
        <v>EMU</v>
      </c>
      <c r="AI557" s="7" t="str" cm="1">
        <f t="array" ref="AI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7" s="43" t="b">
        <v>0</v>
      </c>
      <c r="AK557" s="8" t="b">
        <v>0</v>
      </c>
      <c r="BB557"/>
      <c r="BC557"/>
      <c r="BD557"/>
    </row>
    <row r="558" spans="1:56">
      <c r="A558" s="2" t="s">
        <v>3270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5" t="str">
        <f>_xlfn.XLOOKUP(PROPERTIES[[#This Row],[VEHIDCODE]],CONTROL[VEHIDCODE],CONTROL[ENGLISH])</f>
        <v>Alsthom TGV 23000</v>
      </c>
      <c r="F558" t="s">
        <v>641</v>
      </c>
      <c r="G558" s="45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8">
        <v>68</v>
      </c>
      <c r="R558">
        <v>9119</v>
      </c>
      <c r="S558">
        <v>240</v>
      </c>
      <c r="T558" s="25">
        <f>210/2</f>
        <v>105</v>
      </c>
      <c r="U558" s="24">
        <f>IFERROR(PROPERTIES[[#This Row],[TE_STARTING_KN]]/(PROPERTIES[[#This Row],[WEIGHT]]*9.81),0)</f>
        <v>0.15740241050548659</v>
      </c>
      <c r="V558" s="24">
        <v>0</v>
      </c>
      <c r="W558" s="21">
        <f>ROUND(IF(IFERROR(PROPERTIES[[#This Row],[TE_COEFFICIENT_CALC]],0)=0,PROPERTIES[[#This Row],[TE_COEFFICIENT_MANUAL]],PROPERTIES[[#This Row],[TE_COEFFICIENT_CALC]]),3)</f>
        <v>0.157</v>
      </c>
      <c r="X558" s="9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1">
        <v>43</v>
      </c>
      <c r="Z558" s="7">
        <v>6</v>
      </c>
      <c r="AA558" t="s">
        <v>239</v>
      </c>
      <c r="AB558" t="s">
        <v>238</v>
      </c>
      <c r="AC558" t="s">
        <v>238</v>
      </c>
      <c r="AD558" s="2" t="s">
        <v>238</v>
      </c>
      <c r="AE558" s="2" t="s">
        <v>253</v>
      </c>
      <c r="AF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8" s="2" t="str">
        <f>SUBSTITUTE(SUBSTITUTE(PROPERTIES[[#This Row],[PURCHASECOST_VALUE]], "PURCHASECOST_", ""), "_VALUE", "")</f>
        <v>EMU</v>
      </c>
      <c r="AI558" s="7" t="str" cm="1">
        <f t="array" ref="AI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58" s="43" t="b">
        <v>0</v>
      </c>
      <c r="AK558" s="8" t="b">
        <v>0</v>
      </c>
      <c r="BB558"/>
      <c r="BC558"/>
      <c r="BD558"/>
    </row>
    <row r="559" spans="1:56">
      <c r="A559" s="2" t="s">
        <v>3271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5" t="str">
        <f>_xlfn.XLOOKUP(PROPERTIES[[#This Row],[VEHIDCODE]],CONTROL[VEHIDCODE],CONTROL[ENGLISH])</f>
        <v>Alsthom TGV Duplex</v>
      </c>
      <c r="F559" t="s">
        <v>641</v>
      </c>
      <c r="G559" s="45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8">
        <v>68</v>
      </c>
      <c r="R559">
        <v>11800</v>
      </c>
      <c r="S559">
        <v>320</v>
      </c>
      <c r="T559" s="25">
        <f>220/2</f>
        <v>110</v>
      </c>
      <c r="U559" s="24">
        <f>IFERROR(PROPERTIES[[#This Row],[TE_STARTING_KN]]/(PROPERTIES[[#This Row],[WEIGHT]]*9.81),0)</f>
        <v>0.16489776338670023</v>
      </c>
      <c r="V559" s="24">
        <v>0</v>
      </c>
      <c r="W559" s="21">
        <f>ROUND(IF(IFERROR(PROPERTIES[[#This Row],[TE_COEFFICIENT_CALC]],0)=0,PROPERTIES[[#This Row],[TE_COEFFICIENT_MANUAL]],PROPERTIES[[#This Row],[TE_COEFFICIENT_CALC]]),3)</f>
        <v>0.16500000000000001</v>
      </c>
      <c r="X559" s="9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1">
        <v>72</v>
      </c>
      <c r="Z559" s="7">
        <v>6</v>
      </c>
      <c r="AA559" t="s">
        <v>239</v>
      </c>
      <c r="AB559" t="s">
        <v>242</v>
      </c>
      <c r="AC559" t="s">
        <v>238</v>
      </c>
      <c r="AD559" s="2" t="s">
        <v>238</v>
      </c>
      <c r="AE559" s="2" t="s">
        <v>253</v>
      </c>
      <c r="AF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9" s="2" t="str">
        <f>SUBSTITUTE(SUBSTITUTE(PROPERTIES[[#This Row],[PURCHASECOST_VALUE]], "PURCHASECOST_", ""), "_VALUE", "")</f>
        <v>EMU</v>
      </c>
      <c r="AI559" s="7" t="str" cm="1">
        <f t="array" ref="AI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59" s="43" t="b">
        <v>0</v>
      </c>
      <c r="AK559" s="8" t="b">
        <v>0</v>
      </c>
      <c r="BB559"/>
      <c r="BC559"/>
      <c r="BD559"/>
    </row>
    <row r="560" spans="1:56">
      <c r="A560" s="2" t="s">
        <v>3272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5" t="str">
        <f>_xlfn.XLOOKUP(PROPERTIES[[#This Row],[VEHIDCODE]],CONTROL[VEHIDCODE],CONTROL[ENGLISH])</f>
        <v>GEC-Alsthom Thalys PBKA</v>
      </c>
      <c r="F560" t="s">
        <v>641</v>
      </c>
      <c r="G560" s="45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8">
        <v>68</v>
      </c>
      <c r="R560">
        <v>11800</v>
      </c>
      <c r="S560">
        <v>300</v>
      </c>
      <c r="T560" s="25">
        <f>210/2</f>
        <v>105</v>
      </c>
      <c r="U560" s="24">
        <f>IFERROR(PROPERTIES[[#This Row],[TE_STARTING_KN]]/(PROPERTIES[[#This Row],[WEIGHT]]*9.81),0)</f>
        <v>0.15740241050548659</v>
      </c>
      <c r="V560" s="24">
        <v>0</v>
      </c>
      <c r="W560" s="21">
        <f>ROUND(IF(IFERROR(PROPERTIES[[#This Row],[TE_COEFFICIENT_CALC]],0)=0,PROPERTIES[[#This Row],[TE_COEFFICIENT_MANUAL]],PROPERTIES[[#This Row],[TE_COEFFICIENT_CALC]]),3)</f>
        <v>0.157</v>
      </c>
      <c r="X560" s="9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1">
        <v>47</v>
      </c>
      <c r="Z560" s="7">
        <v>6</v>
      </c>
      <c r="AA560" t="s">
        <v>239</v>
      </c>
      <c r="AB560" t="s">
        <v>238</v>
      </c>
      <c r="AC560" t="s">
        <v>238</v>
      </c>
      <c r="AD560" s="2" t="s">
        <v>238</v>
      </c>
      <c r="AE560" s="2" t="s">
        <v>253</v>
      </c>
      <c r="AF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0" s="2" t="str">
        <f>SUBSTITUTE(SUBSTITUTE(PROPERTIES[[#This Row],[PURCHASECOST_VALUE]], "PURCHASECOST_", ""), "_VALUE", "")</f>
        <v>EMU</v>
      </c>
      <c r="AI560" s="7" t="str" cm="1">
        <f t="array" ref="AI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60" s="43" t="b">
        <v>0</v>
      </c>
      <c r="AK560" s="8" t="b">
        <v>0</v>
      </c>
      <c r="BB560"/>
      <c r="BC560"/>
      <c r="BD560"/>
    </row>
    <row r="561" spans="1:56">
      <c r="A561" s="2" t="s">
        <v>3273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5" t="str">
        <f>_xlfn.XLOOKUP(PROPERTIES[[#This Row],[VEHIDCODE]],CONTROL[VEHIDCODE],CONTROL[ENGLISH])</f>
        <v>Alsthom 'Pendolino' 680</v>
      </c>
      <c r="F561" t="s">
        <v>622</v>
      </c>
      <c r="G561" s="45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8">
        <v>55</v>
      </c>
      <c r="R561">
        <v>1318</v>
      </c>
      <c r="S561">
        <v>200</v>
      </c>
      <c r="T561" s="25">
        <v>50</v>
      </c>
      <c r="U561" s="24">
        <f>IFERROR(PROPERTIES[[#This Row],[TE_STARTING_KN]]/(PROPERTIES[[#This Row],[WEIGHT]]*9.81),0)</f>
        <v>9.2669817440459629E-2</v>
      </c>
      <c r="V561" s="24">
        <v>0</v>
      </c>
      <c r="W561" s="21">
        <f>ROUND(IF(IFERROR(PROPERTIES[[#This Row],[TE_COEFFICIENT_CALC]],0)=0,PROPERTIES[[#This Row],[TE_COEFFICIENT_MANUAL]],PROPERTIES[[#This Row],[TE_COEFFICIENT_CALC]]),3)</f>
        <v>9.2999999999999999E-2</v>
      </c>
      <c r="X561" s="9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1">
        <v>47</v>
      </c>
      <c r="Z561" s="7">
        <v>8</v>
      </c>
      <c r="AA561" t="s">
        <v>248</v>
      </c>
      <c r="AB561" t="s">
        <v>238</v>
      </c>
      <c r="AC561" t="s">
        <v>238</v>
      </c>
      <c r="AD561" s="2" t="s">
        <v>238</v>
      </c>
      <c r="AE561" s="2" t="s">
        <v>253</v>
      </c>
      <c r="AF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1" s="2" t="str">
        <f>SUBSTITUTE(SUBSTITUTE(PROPERTIES[[#This Row],[PURCHASECOST_VALUE]], "PURCHASECOST_", ""), "_VALUE", "")</f>
        <v>EMU</v>
      </c>
      <c r="AI561" s="7" t="str" cm="1">
        <f t="array" ref="AI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1" s="43" t="b">
        <v>0</v>
      </c>
      <c r="AK561" s="8" t="b">
        <v>0</v>
      </c>
      <c r="BB561"/>
      <c r="BC561"/>
      <c r="BD561"/>
    </row>
    <row r="562" spans="1:56">
      <c r="A562" s="2" t="s">
        <v>3274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5" t="str">
        <f>_xlfn.XLOOKUP(PROPERTIES[[#This Row],[VEHIDCODE]],CONTROL[VEHIDCODE],CONTROL[ENGLISH])</f>
        <v>CAF/Alstom Class 120</v>
      </c>
      <c r="F562" t="s">
        <v>634</v>
      </c>
      <c r="G562" s="45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8">
        <v>61</v>
      </c>
      <c r="R562">
        <f>1340*2</f>
        <v>2680</v>
      </c>
      <c r="S562">
        <v>250</v>
      </c>
      <c r="T562" s="25">
        <v>48</v>
      </c>
      <c r="U562" s="24">
        <f>IFERROR(PROPERTIES[[#This Row],[TE_STARTING_KN]]/(PROPERTIES[[#This Row],[WEIGHT]]*9.81),0)</f>
        <v>8.0212563292725705E-2</v>
      </c>
      <c r="V562" s="24">
        <v>0</v>
      </c>
      <c r="W562" s="21">
        <f>ROUND(IF(IFERROR(PROPERTIES[[#This Row],[TE_COEFFICIENT_CALC]],0)=0,PROPERTIES[[#This Row],[TE_COEFFICIENT_MANUAL]],PROPERTIES[[#This Row],[TE_COEFFICIENT_CALC]]),3)</f>
        <v>0.08</v>
      </c>
      <c r="X562" s="9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1">
        <v>60</v>
      </c>
      <c r="Z562" s="7">
        <v>8</v>
      </c>
      <c r="AA562" t="s">
        <v>240</v>
      </c>
      <c r="AB562" t="s">
        <v>238</v>
      </c>
      <c r="AC562" t="s">
        <v>238</v>
      </c>
      <c r="AD562" s="2" t="s">
        <v>238</v>
      </c>
      <c r="AE562" s="2" t="s">
        <v>253</v>
      </c>
      <c r="AF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2" s="2" t="str">
        <f>SUBSTITUTE(SUBSTITUTE(PROPERTIES[[#This Row],[PURCHASECOST_VALUE]], "PURCHASECOST_", ""), "_VALUE", "")</f>
        <v>EMU</v>
      </c>
      <c r="AI562" s="7" t="str" cm="1">
        <f t="array" ref="AI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2" s="43" t="b">
        <v>0</v>
      </c>
      <c r="AK562" s="8" t="b">
        <v>0</v>
      </c>
      <c r="BB562"/>
      <c r="BC562"/>
      <c r="BD562"/>
    </row>
    <row r="563" spans="1:56">
      <c r="A563" s="2" t="s">
        <v>3275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5" t="str">
        <f>_xlfn.XLOOKUP(PROPERTIES[[#This Row],[VEHIDCODE]],CONTROL[VEHIDCODE],CONTROL[ENGLISH])</f>
        <v>Bombarier/Alstom Acela Express</v>
      </c>
      <c r="F563" t="s">
        <v>796</v>
      </c>
      <c r="G563" s="45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8">
        <v>93</v>
      </c>
      <c r="R563">
        <v>6200</v>
      </c>
      <c r="S563">
        <v>240</v>
      </c>
      <c r="T563" s="25">
        <v>220.2</v>
      </c>
      <c r="U563" s="24">
        <f>IFERROR(PROPERTIES[[#This Row],[TE_STARTING_KN]]/(PROPERTIES[[#This Row],[WEIGHT]]*9.81),0)</f>
        <v>0.24136003419815197</v>
      </c>
      <c r="V563" s="24">
        <v>0</v>
      </c>
      <c r="W563" s="21">
        <f>ROUND(IF(IFERROR(PROPERTIES[[#This Row],[TE_COEFFICIENT_CALC]],0)=0,PROPERTIES[[#This Row],[TE_COEFFICIENT_MANUAL]],PROPERTIES[[#This Row],[TE_COEFFICIENT_CALC]]),3)</f>
        <v>0.24099999999999999</v>
      </c>
      <c r="X563" s="9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1">
        <v>50</v>
      </c>
      <c r="Z563" s="7">
        <v>8</v>
      </c>
      <c r="AA563" t="s">
        <v>244</v>
      </c>
      <c r="AB563" t="s">
        <v>238</v>
      </c>
      <c r="AC563" t="s">
        <v>238</v>
      </c>
      <c r="AD563" s="2" t="s">
        <v>238</v>
      </c>
      <c r="AE563" s="2" t="s">
        <v>253</v>
      </c>
      <c r="AF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3" s="2" t="str">
        <f>SUBSTITUTE(SUBSTITUTE(PROPERTIES[[#This Row],[PURCHASECOST_VALUE]], "PURCHASECOST_", ""), "_VALUE", "")</f>
        <v>EMU</v>
      </c>
      <c r="AI563" s="7" t="str" cm="1">
        <f t="array" ref="AI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3" s="43" t="b">
        <v>0</v>
      </c>
      <c r="AK563" s="8" t="b">
        <v>0</v>
      </c>
      <c r="BB563"/>
      <c r="BC563"/>
      <c r="BD563"/>
    </row>
    <row r="564" spans="1:56">
      <c r="A564" s="2" t="s">
        <v>3276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5" t="str">
        <f>_xlfn.XLOOKUP(PROPERTIES[[#This Row],[VEHIDCODE]],CONTROL[VEHIDCODE],CONTROL[ENGLISH])</f>
        <v>Brooklyn Union Gate 1300</v>
      </c>
      <c r="F564" t="s">
        <v>796</v>
      </c>
      <c r="G564" s="45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8">
        <v>28</v>
      </c>
      <c r="R564">
        <v>200</v>
      </c>
      <c r="S564">
        <v>50</v>
      </c>
      <c r="T564" s="25">
        <v>25</v>
      </c>
      <c r="U564" s="24">
        <f>IFERROR(PROPERTIES[[#This Row],[TE_STARTING_KN]]/(PROPERTIES[[#This Row],[WEIGHT]]*9.81),0)</f>
        <v>9.1014999271880004E-2</v>
      </c>
      <c r="V564" s="24">
        <v>0</v>
      </c>
      <c r="W564" s="21">
        <f>ROUND(IF(IFERROR(PROPERTIES[[#This Row],[TE_COEFFICIENT_CALC]],0)=0,PROPERTIES[[#This Row],[TE_COEFFICIENT_MANUAL]],PROPERTIES[[#This Row],[TE_COEFFICIENT_CALC]]),3)</f>
        <v>9.0999999999999998E-2</v>
      </c>
      <c r="X564" s="9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1">
        <v>0</v>
      </c>
      <c r="Z564" s="7">
        <v>0</v>
      </c>
      <c r="AA564" t="s">
        <v>244</v>
      </c>
      <c r="AB564" t="s">
        <v>238</v>
      </c>
      <c r="AC564" t="s">
        <v>238</v>
      </c>
      <c r="AD564" s="2" t="s">
        <v>238</v>
      </c>
      <c r="AE564" s="2" t="s">
        <v>253</v>
      </c>
      <c r="AF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4" s="2" t="str">
        <f>SUBSTITUTE(SUBSTITUTE(PROPERTIES[[#This Row],[PURCHASECOST_VALUE]], "PURCHASECOST_", ""), "_VALUE", "")</f>
        <v>METRORAILBUS</v>
      </c>
      <c r="AI564" s="7" t="str" cm="1">
        <f t="array" ref="AI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4" s="43" t="b">
        <v>0</v>
      </c>
      <c r="AK564" s="8" t="b">
        <v>0</v>
      </c>
      <c r="BB564"/>
      <c r="BC564"/>
      <c r="BD564"/>
    </row>
    <row r="565" spans="1:56">
      <c r="A565" s="2" t="s">
        <v>3277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5" t="str">
        <f>_xlfn.XLOOKUP(PROPERTIES[[#This Row],[VEHIDCODE]],CONTROL[VEHIDCODE],CONTROL[ENGLISH])</f>
        <v>Siemens &amp; Halske Budapest 1894 Stock</v>
      </c>
      <c r="F565" t="s">
        <v>665</v>
      </c>
      <c r="G565" s="45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8">
        <v>16.5</v>
      </c>
      <c r="R565">
        <v>200</v>
      </c>
      <c r="S565">
        <v>60</v>
      </c>
      <c r="T565" s="25">
        <v>18</v>
      </c>
      <c r="U565" s="24">
        <f>IFERROR(PROPERTIES[[#This Row],[TE_STARTING_KN]]/(PROPERTIES[[#This Row],[WEIGHT]]*9.81),0)</f>
        <v>0.11120378092855157</v>
      </c>
      <c r="V565" s="24">
        <v>0</v>
      </c>
      <c r="W565" s="21">
        <f>ROUND(IF(IFERROR(PROPERTIES[[#This Row],[TE_COEFFICIENT_CALC]],0)=0,PROPERTIES[[#This Row],[TE_COEFFICIENT_MANUAL]],PROPERTIES[[#This Row],[TE_COEFFICIENT_CALC]]),3)</f>
        <v>0.111</v>
      </c>
      <c r="X565" s="9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1">
        <v>0</v>
      </c>
      <c r="Z565" s="7">
        <v>0</v>
      </c>
      <c r="AA565" t="s">
        <v>245</v>
      </c>
      <c r="AB565" t="s">
        <v>238</v>
      </c>
      <c r="AC565" t="s">
        <v>238</v>
      </c>
      <c r="AD565" s="2" t="s">
        <v>238</v>
      </c>
      <c r="AE565" s="2" t="s">
        <v>253</v>
      </c>
      <c r="AF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5" s="2" t="str">
        <f>SUBSTITUTE(SUBSTITUTE(PROPERTIES[[#This Row],[PURCHASECOST_VALUE]], "PURCHASECOST_", ""), "_VALUE", "")</f>
        <v>METRORAILBUS</v>
      </c>
      <c r="AI565" s="7" t="str" cm="1">
        <f t="array" ref="AI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5" s="43" t="b">
        <v>0</v>
      </c>
      <c r="AK565" s="8" t="b">
        <v>0</v>
      </c>
      <c r="BB565"/>
      <c r="BC565"/>
      <c r="BD565"/>
    </row>
    <row r="566" spans="1:56">
      <c r="A566" s="2" t="s">
        <v>3278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5" t="str">
        <f>_xlfn.XLOOKUP(PROPERTIES[[#This Row],[VEHIDCODE]],CONTROL[VEHIDCODE],CONTROL[ENGLISH])</f>
        <v>Chicago L Northwest Elevated 1907 Stock</v>
      </c>
      <c r="F566" t="s">
        <v>796</v>
      </c>
      <c r="G566" s="45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8">
        <v>31.5</v>
      </c>
      <c r="R566">
        <v>250</v>
      </c>
      <c r="S566">
        <v>70</v>
      </c>
      <c r="T566" s="25">
        <v>38</v>
      </c>
      <c r="U566" s="24">
        <f>IFERROR(PROPERTIES[[#This Row],[TE_STARTING_KN]]/(PROPERTIES[[#This Row],[WEIGHT]]*9.81),0)</f>
        <v>0.12297137679400674</v>
      </c>
      <c r="V566" s="24">
        <v>0</v>
      </c>
      <c r="W566" s="21">
        <f>ROUND(IF(IFERROR(PROPERTIES[[#This Row],[TE_COEFFICIENT_CALC]],0)=0,PROPERTIES[[#This Row],[TE_COEFFICIENT_MANUAL]],PROPERTIES[[#This Row],[TE_COEFFICIENT_CALC]]),3)</f>
        <v>0.123</v>
      </c>
      <c r="X566" s="9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1">
        <v>0</v>
      </c>
      <c r="Z566" s="7">
        <v>0</v>
      </c>
      <c r="AA566" t="s">
        <v>244</v>
      </c>
      <c r="AB566" t="s">
        <v>238</v>
      </c>
      <c r="AC566" t="s">
        <v>238</v>
      </c>
      <c r="AD566" s="2" t="s">
        <v>238</v>
      </c>
      <c r="AE566" s="2" t="s">
        <v>253</v>
      </c>
      <c r="AF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6" s="2" t="str">
        <f>SUBSTITUTE(SUBSTITUTE(PROPERTIES[[#This Row],[PURCHASECOST_VALUE]], "PURCHASECOST_", ""), "_VALUE", "")</f>
        <v>METRORAILBUS</v>
      </c>
      <c r="AI566" s="7" t="str" cm="1">
        <f t="array" ref="AI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6" s="43" t="b">
        <v>0</v>
      </c>
      <c r="AK566" s="8" t="b">
        <v>0</v>
      </c>
      <c r="BB566"/>
      <c r="BC566"/>
      <c r="BD566"/>
    </row>
    <row r="567" spans="1:56">
      <c r="A567" s="2" t="s">
        <v>3279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5" t="str">
        <f>_xlfn.XLOOKUP(PROPERTIES[[#This Row],[VEHIDCODE]],CONTROL[VEHIDCODE],CONTROL[ENGLISH])</f>
        <v>Berlin U-Bahn C II</v>
      </c>
      <c r="F567" t="s">
        <v>623</v>
      </c>
      <c r="G567" s="45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8">
        <v>45.2</v>
      </c>
      <c r="R567">
        <v>375</v>
      </c>
      <c r="S567">
        <v>60</v>
      </c>
      <c r="T567" s="25">
        <v>42</v>
      </c>
      <c r="U567" s="24">
        <f>IFERROR(PROPERTIES[[#This Row],[TE_STARTING_KN]]/(PROPERTIES[[#This Row],[WEIGHT]]*9.81),0)</f>
        <v>9.4720034640469811E-2</v>
      </c>
      <c r="V567" s="24">
        <v>0</v>
      </c>
      <c r="W567" s="21">
        <f>ROUND(IF(IFERROR(PROPERTIES[[#This Row],[TE_COEFFICIENT_CALC]],0)=0,PROPERTIES[[#This Row],[TE_COEFFICIENT_MANUAL]],PROPERTIES[[#This Row],[TE_COEFFICIENT_CALC]]),3)</f>
        <v>9.5000000000000001E-2</v>
      </c>
      <c r="X567" s="9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1">
        <v>0</v>
      </c>
      <c r="Z567" s="7">
        <v>0</v>
      </c>
      <c r="AA567" t="s">
        <v>239</v>
      </c>
      <c r="AB567" t="s">
        <v>238</v>
      </c>
      <c r="AC567" t="s">
        <v>238</v>
      </c>
      <c r="AD567" s="2" t="s">
        <v>238</v>
      </c>
      <c r="AE567" s="2" t="s">
        <v>253</v>
      </c>
      <c r="AF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7" s="2" t="str">
        <f>SUBSTITUTE(SUBSTITUTE(PROPERTIES[[#This Row],[PURCHASECOST_VALUE]], "PURCHASECOST_", ""), "_VALUE", "")</f>
        <v>METRORAILBUS</v>
      </c>
      <c r="AI567" s="7" t="str" cm="1">
        <f t="array" ref="AI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7" s="43" t="b">
        <v>0</v>
      </c>
      <c r="AK567" s="8" t="b">
        <v>0</v>
      </c>
      <c r="BB567"/>
      <c r="BC567"/>
      <c r="BD567"/>
    </row>
    <row r="568" spans="1:56">
      <c r="A568" s="2" t="s">
        <v>3280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5" t="str">
        <f>_xlfn.XLOOKUP(PROPERTIES[[#This Row],[VEHIDCODE]],CONTROL[VEHIDCODE],CONTROL[ENGLISH])</f>
        <v>ACME Corp. Turbobus</v>
      </c>
      <c r="F568" t="s">
        <v>1067</v>
      </c>
      <c r="G568" s="45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8">
        <v>30</v>
      </c>
      <c r="R568">
        <v>5070</v>
      </c>
      <c r="S568">
        <v>753</v>
      </c>
      <c r="T568" s="25">
        <v>0</v>
      </c>
      <c r="U568" s="24">
        <f>IFERROR(PROPERTIES[[#This Row],[TE_STARTING_KN]]/(PROPERTIES[[#This Row],[WEIGHT]]*9.81),0)</f>
        <v>0</v>
      </c>
      <c r="V568" s="24">
        <v>0.28999999999999998</v>
      </c>
      <c r="W568" s="21">
        <f>ROUND(IF(IFERROR(PROPERTIES[[#This Row],[TE_COEFFICIENT_CALC]],0)=0,PROPERTIES[[#This Row],[TE_COEFFICIENT_MANUAL]],PROPERTIES[[#This Row],[TE_COEFFICIENT_CALC]]),3)</f>
        <v>0.28999999999999998</v>
      </c>
      <c r="X568" s="9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1">
        <v>0</v>
      </c>
      <c r="Z568" s="7">
        <v>2</v>
      </c>
      <c r="AA568" t="s">
        <v>250</v>
      </c>
      <c r="AB568" t="s">
        <v>238</v>
      </c>
      <c r="AC568" t="s">
        <v>238</v>
      </c>
      <c r="AD568" s="2" t="s">
        <v>238</v>
      </c>
      <c r="AE568" s="2" t="s">
        <v>254</v>
      </c>
      <c r="AF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G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H568" s="2" t="str">
        <f>SUBSTITUTE(SUBSTITUTE(PROPERTIES[[#This Row],[PURCHASECOST_VALUE]], "PURCHASECOST_", ""), "_VALUE", "")</f>
        <v>MAGLEVRAILBUS</v>
      </c>
      <c r="AI568" s="7" t="str" cm="1">
        <f t="array" ref="AI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68" s="43" t="b">
        <v>0</v>
      </c>
      <c r="AK568" s="8" t="b">
        <v>0</v>
      </c>
      <c r="BB568"/>
      <c r="BC568"/>
      <c r="BD568"/>
    </row>
    <row r="569" spans="1:56">
      <c r="A569" s="2" t="s">
        <v>3281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5" t="str">
        <f>_xlfn.XLOOKUP(PROPERTIES[[#This Row],[VEHIDCODE]],CONTROL[VEHIDCODE],CONTROL[ENGLISH])</f>
        <v>Siemens EuroSprinter ES64U4M</v>
      </c>
      <c r="F569" t="s">
        <v>623</v>
      </c>
      <c r="G569" s="45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8">
        <v>90</v>
      </c>
      <c r="R569">
        <v>18875</v>
      </c>
      <c r="S569">
        <v>250</v>
      </c>
      <c r="T569" s="25">
        <v>600</v>
      </c>
      <c r="U569" s="24">
        <f>IFERROR(PROPERTIES[[#This Row],[TE_STARTING_KN]]/(PROPERTIES[[#This Row],[WEIGHT]]*9.81),0)</f>
        <v>0.6795786612300373</v>
      </c>
      <c r="V569" s="24">
        <v>0</v>
      </c>
      <c r="W569" s="21">
        <f>ROUND(IF(IFERROR(PROPERTIES[[#This Row],[TE_COEFFICIENT_CALC]],0)=0,PROPERTIES[[#This Row],[TE_COEFFICIENT_MANUAL]],PROPERTIES[[#This Row],[TE_COEFFICIENT_CALC]]),3)</f>
        <v>0.68</v>
      </c>
      <c r="X569" s="9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1">
        <v>0</v>
      </c>
      <c r="Z569" s="7">
        <v>0</v>
      </c>
      <c r="AA569" t="s">
        <v>239</v>
      </c>
      <c r="AB569" t="s">
        <v>238</v>
      </c>
      <c r="AC569" t="s">
        <v>238</v>
      </c>
      <c r="AD569" s="2" t="s">
        <v>238</v>
      </c>
      <c r="AE569" s="2" t="s">
        <v>254</v>
      </c>
      <c r="AF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569" s="2" t="str">
        <f>SUBSTITUTE(SUBSTITUTE(PROPERTIES[[#This Row],[PURCHASECOST_VALUE]], "PURCHASECOST_", ""), "_VALUE", "")</f>
        <v>MAGLEVENGINE</v>
      </c>
      <c r="AI569" s="7" t="str" cm="1">
        <f t="array" ref="AI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9" s="43" t="b">
        <v>0</v>
      </c>
      <c r="AK569" s="8" t="b">
        <v>0</v>
      </c>
      <c r="BB569"/>
      <c r="BC569"/>
      <c r="BD569"/>
    </row>
    <row r="570" spans="1:56">
      <c r="A570" s="2" t="s">
        <v>3282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5" t="str">
        <f>_xlfn.XLOOKUP(PROPERTIES[[#This Row],[VEHIDCODE]],CONTROL[VEHIDCODE],CONTROL[ENGLISH])</f>
        <v>Siemens-Thyssenkrupp Transrapid</v>
      </c>
      <c r="F570" t="s">
        <v>614</v>
      </c>
      <c r="G570" s="45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8">
        <v>53</v>
      </c>
      <c r="R570">
        <v>13450</v>
      </c>
      <c r="S570">
        <v>433</v>
      </c>
      <c r="T570" s="25">
        <v>450</v>
      </c>
      <c r="U570" s="24">
        <f>IFERROR(PROPERTIES[[#This Row],[TE_STARTING_KN]]/(PROPERTIES[[#This Row],[WEIGHT]]*9.81),0)</f>
        <v>0.8655011251514626</v>
      </c>
      <c r="V570" s="24">
        <v>0</v>
      </c>
      <c r="W570" s="21">
        <f>ROUND(IF(IFERROR(PROPERTIES[[#This Row],[TE_COEFFICIENT_CALC]],0)=0,PROPERTIES[[#This Row],[TE_COEFFICIENT_MANUAL]],PROPERTIES[[#This Row],[TE_COEFFICIENT_CALC]]),3)</f>
        <v>0.86599999999999999</v>
      </c>
      <c r="X570" s="9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1">
        <v>55</v>
      </c>
      <c r="Z570" s="7">
        <v>8</v>
      </c>
      <c r="AA570" t="s">
        <v>247</v>
      </c>
      <c r="AB570" t="s">
        <v>239</v>
      </c>
      <c r="AC570" t="s">
        <v>238</v>
      </c>
      <c r="AD570" s="2" t="s">
        <v>238</v>
      </c>
      <c r="AE570" s="2" t="s">
        <v>253</v>
      </c>
      <c r="AF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0" s="2" t="str">
        <f>SUBSTITUTE(SUBSTITUTE(PROPERTIES[[#This Row],[PURCHASECOST_VALUE]], "PURCHASECOST_", ""), "_VALUE", "")</f>
        <v>MMU</v>
      </c>
      <c r="AI570" s="7" t="str" cm="1">
        <f t="array" ref="AI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0" s="43" t="b">
        <v>0</v>
      </c>
      <c r="AK570" s="8" t="b">
        <v>0</v>
      </c>
      <c r="BB570"/>
      <c r="BC570"/>
      <c r="BD570"/>
    </row>
    <row r="571" spans="1:56">
      <c r="A571" s="2" t="s">
        <v>3283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5" t="str">
        <f>_xlfn.XLOOKUP(PROPERTIES[[#This Row],[VEHIDCODE]],CONTROL[VEHIDCODE],CONTROL[ENGLISH])</f>
        <v>Mistubishi/Nippon Sharyo MLX01-901</v>
      </c>
      <c r="F571" t="s">
        <v>679</v>
      </c>
      <c r="G571" s="45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8">
        <v>72</v>
      </c>
      <c r="R571">
        <v>20115</v>
      </c>
      <c r="S571">
        <v>500</v>
      </c>
      <c r="T571" s="25">
        <v>500</v>
      </c>
      <c r="U571" s="24">
        <f>IFERROR(PROPERTIES[[#This Row],[TE_STARTING_KN]]/(PROPERTIES[[#This Row],[WEIGHT]]*9.81),0)</f>
        <v>0.70789443878128888</v>
      </c>
      <c r="V571" s="24">
        <v>0</v>
      </c>
      <c r="W571" s="21">
        <f>ROUND(IF(IFERROR(PROPERTIES[[#This Row],[TE_COEFFICIENT_CALC]],0)=0,PROPERTIES[[#This Row],[TE_COEFFICIENT_MANUAL]],PROPERTIES[[#This Row],[TE_COEFFICIENT_CALC]]),3)</f>
        <v>0.70799999999999996</v>
      </c>
      <c r="X571" s="9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1">
        <v>60</v>
      </c>
      <c r="Z571" s="7">
        <v>8</v>
      </c>
      <c r="AA571" t="s">
        <v>247</v>
      </c>
      <c r="AB571" t="s">
        <v>238</v>
      </c>
      <c r="AC571" t="s">
        <v>238</v>
      </c>
      <c r="AD571" s="2" t="s">
        <v>238</v>
      </c>
      <c r="AE571" s="2" t="s">
        <v>254</v>
      </c>
      <c r="AF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1" s="2" t="str">
        <f>SUBSTITUTE(SUBSTITUTE(PROPERTIES[[#This Row],[PURCHASECOST_VALUE]], "PURCHASECOST_", ""), "_VALUE", "")</f>
        <v>MMU</v>
      </c>
      <c r="AI571" s="7" t="str" cm="1">
        <f t="array" ref="AI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1" s="43" t="b">
        <v>0</v>
      </c>
      <c r="AK571" s="8" t="b">
        <v>0</v>
      </c>
      <c r="BB571"/>
      <c r="BC571"/>
      <c r="BD571"/>
    </row>
    <row r="572" spans="1:56">
      <c r="A572" s="2" t="s">
        <v>236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5" t="str">
        <f>_xlfn.XLOOKUP(PROPERTIES[[#This Row],[VEHIDCODE]],CONTROL[VEHIDCODE],CONTROL[ENGLISH])</f>
        <v>7th Gen Boxcar [Food]</v>
      </c>
      <c r="G572" s="45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1714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8">
        <v>27</v>
      </c>
      <c r="R572">
        <v>0</v>
      </c>
      <c r="S572">
        <v>180</v>
      </c>
      <c r="T572" s="25">
        <v>0</v>
      </c>
      <c r="U572" s="24">
        <f>IFERROR(PROPERTIES[[#This Row],[TE_STARTING_KN]]/(PROPERTIES[[#This Row],[WEIGHT]]*9.81),0)</f>
        <v>0</v>
      </c>
      <c r="V572" s="24">
        <v>0.3</v>
      </c>
      <c r="W572" s="21">
        <f>ROUND(IF(IFERROR(PROPERTIES[[#This Row],[TE_COEFFICIENT_CALC]],0)=0,PROPERTIES[[#This Row],[TE_COEFFICIENT_MANUAL]],PROPERTIES[[#This Row],[TE_COEFFICIENT_CALC]]),3)</f>
        <v>0.3</v>
      </c>
      <c r="X572" s="9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1">
        <v>0</v>
      </c>
      <c r="Z572" s="7">
        <v>0</v>
      </c>
      <c r="AA572" t="s">
        <v>250</v>
      </c>
      <c r="AB572" t="s">
        <v>238</v>
      </c>
      <c r="AC572" t="s">
        <v>238</v>
      </c>
      <c r="AD572" s="2" t="s">
        <v>238</v>
      </c>
      <c r="AE572" s="2" t="s">
        <v>254</v>
      </c>
      <c r="AF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2" s="2" t="str">
        <f>SUBSTITUTE(SUBSTITUTE(PROPERTIES[[#This Row],[PURCHASECOST_VALUE]], "PURCHASECOST_", ""), "_VALUE", "")</f>
        <v>WAGON</v>
      </c>
      <c r="AI572" s="7" t="str" cm="1">
        <f t="array" ref="AI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2" s="43" t="b">
        <v>0</v>
      </c>
      <c r="AK572" s="8" t="b">
        <v>0</v>
      </c>
      <c r="BB572"/>
      <c r="BC572"/>
      <c r="BD572"/>
    </row>
    <row r="573" spans="1:56">
      <c r="A573" s="2" t="s">
        <v>220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5" t="str">
        <f>_xlfn.XLOOKUP(PROPERTIES[[#This Row],[VEHIDCODE]],CONTROL[VEHIDCODE],CONTROL[ENGLISH])</f>
        <v>7th Gen Boxcar [Non-Food]</v>
      </c>
      <c r="G573" s="45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1717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8">
        <v>27</v>
      </c>
      <c r="R573">
        <v>0</v>
      </c>
      <c r="S573">
        <v>180</v>
      </c>
      <c r="T573" s="25">
        <v>0</v>
      </c>
      <c r="U573" s="24">
        <f>IFERROR(PROPERTIES[[#This Row],[TE_STARTING_KN]]/(PROPERTIES[[#This Row],[WEIGHT]]*9.81),0)</f>
        <v>0</v>
      </c>
      <c r="V573" s="24">
        <v>0.3</v>
      </c>
      <c r="W573" s="21">
        <f>ROUND(IF(IFERROR(PROPERTIES[[#This Row],[TE_COEFFICIENT_CALC]],0)=0,PROPERTIES[[#This Row],[TE_COEFFICIENT_MANUAL]],PROPERTIES[[#This Row],[TE_COEFFICIENT_CALC]]),3)</f>
        <v>0.3</v>
      </c>
      <c r="X573" s="9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1">
        <v>0</v>
      </c>
      <c r="Z573" s="7">
        <v>0</v>
      </c>
      <c r="AA573" t="s">
        <v>250</v>
      </c>
      <c r="AB573" t="s">
        <v>238</v>
      </c>
      <c r="AC573" t="s">
        <v>238</v>
      </c>
      <c r="AD573" s="2" t="s">
        <v>238</v>
      </c>
      <c r="AE573" s="2" t="s">
        <v>254</v>
      </c>
      <c r="AF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3" s="2" t="str">
        <f>SUBSTITUTE(SUBSTITUTE(PROPERTIES[[#This Row],[PURCHASECOST_VALUE]], "PURCHASECOST_", ""), "_VALUE", "")</f>
        <v>WAGON</v>
      </c>
      <c r="AI573" s="7" t="str" cm="1">
        <f t="array" ref="AI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3" s="43" t="b">
        <v>0</v>
      </c>
      <c r="AK573" s="8" t="b">
        <v>0</v>
      </c>
      <c r="BB573"/>
      <c r="BC573"/>
      <c r="BD573"/>
    </row>
    <row r="574" spans="1:56">
      <c r="A574" s="2" t="s">
        <v>221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5" t="str">
        <f>_xlfn.XLOOKUP(PROPERTIES[[#This Row],[VEHIDCODE]],CONTROL[VEHIDCODE],CONTROL[ENGLISH])</f>
        <v>7th Gen Car Transporter</v>
      </c>
      <c r="G574" s="45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8">
        <v>28</v>
      </c>
      <c r="R574">
        <v>0</v>
      </c>
      <c r="S574">
        <v>180</v>
      </c>
      <c r="T574" s="25">
        <v>0</v>
      </c>
      <c r="U574" s="24">
        <f>IFERROR(PROPERTIES[[#This Row],[TE_STARTING_KN]]/(PROPERTIES[[#This Row],[WEIGHT]]*9.81),0)</f>
        <v>0</v>
      </c>
      <c r="V574" s="24">
        <v>0.3</v>
      </c>
      <c r="W574" s="21">
        <f>ROUND(IF(IFERROR(PROPERTIES[[#This Row],[TE_COEFFICIENT_CALC]],0)=0,PROPERTIES[[#This Row],[TE_COEFFICIENT_MANUAL]],PROPERTIES[[#This Row],[TE_COEFFICIENT_CALC]]),3)</f>
        <v>0.3</v>
      </c>
      <c r="X574" s="9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1">
        <v>0</v>
      </c>
      <c r="Z574" s="7">
        <v>0</v>
      </c>
      <c r="AA574" t="s">
        <v>250</v>
      </c>
      <c r="AB574" t="s">
        <v>238</v>
      </c>
      <c r="AC574" t="s">
        <v>238</v>
      </c>
      <c r="AD574" s="2" t="s">
        <v>238</v>
      </c>
      <c r="AE574" s="2" t="s">
        <v>254</v>
      </c>
      <c r="AF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4" s="2" t="str">
        <f>SUBSTITUTE(SUBSTITUTE(PROPERTIES[[#This Row],[PURCHASECOST_VALUE]], "PURCHASECOST_", ""), "_VALUE", "")</f>
        <v>WAGON</v>
      </c>
      <c r="AI574" s="7" t="str" cm="1">
        <f t="array" ref="AI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4" s="43" t="b">
        <v>0</v>
      </c>
      <c r="AK574" s="8" t="b">
        <v>0</v>
      </c>
      <c r="BB574"/>
      <c r="BC574"/>
      <c r="BD574"/>
    </row>
    <row r="575" spans="1:56">
      <c r="A575" s="2" t="s">
        <v>222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5" t="str">
        <f>_xlfn.XLOOKUP(PROPERTIES[[#This Row],[VEHIDCODE]],CONTROL[VEHIDCODE],CONTROL[ENGLISH])</f>
        <v>7th Gen Centerbeam Flatcar</v>
      </c>
      <c r="G575" s="45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8">
        <v>40</v>
      </c>
      <c r="R575">
        <v>0</v>
      </c>
      <c r="S575">
        <v>180</v>
      </c>
      <c r="T575" s="25">
        <v>0</v>
      </c>
      <c r="U575" s="24">
        <f>IFERROR(PROPERTIES[[#This Row],[TE_STARTING_KN]]/(PROPERTIES[[#This Row],[WEIGHT]]*9.81),0)</f>
        <v>0</v>
      </c>
      <c r="V575" s="24">
        <v>0.3</v>
      </c>
      <c r="W575" s="21">
        <f>ROUND(IF(IFERROR(PROPERTIES[[#This Row],[TE_COEFFICIENT_CALC]],0)=0,PROPERTIES[[#This Row],[TE_COEFFICIENT_MANUAL]],PROPERTIES[[#This Row],[TE_COEFFICIENT_CALC]]),3)</f>
        <v>0.3</v>
      </c>
      <c r="X575" s="9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1">
        <v>0</v>
      </c>
      <c r="Z575" s="7">
        <v>0</v>
      </c>
      <c r="AA575" t="s">
        <v>250</v>
      </c>
      <c r="AB575" t="s">
        <v>238</v>
      </c>
      <c r="AC575" t="s">
        <v>238</v>
      </c>
      <c r="AD575" s="2" t="s">
        <v>238</v>
      </c>
      <c r="AE575" s="2" t="s">
        <v>254</v>
      </c>
      <c r="AF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5" s="2" t="str">
        <f>SUBSTITUTE(SUBSTITUTE(PROPERTIES[[#This Row],[PURCHASECOST_VALUE]], "PURCHASECOST_", ""), "_VALUE", "")</f>
        <v>WAGON</v>
      </c>
      <c r="AI575" s="7" t="str" cm="1">
        <f t="array" ref="AI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5" s="43" t="b">
        <v>0</v>
      </c>
      <c r="AK575" s="8" t="b">
        <v>0</v>
      </c>
      <c r="BB575"/>
      <c r="BC575"/>
      <c r="BD575"/>
    </row>
    <row r="576" spans="1:56">
      <c r="A576" s="2" t="s">
        <v>223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5" t="str">
        <f>_xlfn.XLOOKUP(PROPERTIES[[#This Row],[VEHIDCODE]],CONTROL[VEHIDCODE],CONTROL[ENGLISH])</f>
        <v>7th Gen Container Carrier</v>
      </c>
      <c r="G576" s="45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8">
        <v>22</v>
      </c>
      <c r="R576">
        <v>0</v>
      </c>
      <c r="S576">
        <v>180</v>
      </c>
      <c r="T576" s="25">
        <v>0</v>
      </c>
      <c r="U576" s="24">
        <f>IFERROR(PROPERTIES[[#This Row],[TE_STARTING_KN]]/(PROPERTIES[[#This Row],[WEIGHT]]*9.81),0)</f>
        <v>0</v>
      </c>
      <c r="V576" s="24">
        <v>0.3</v>
      </c>
      <c r="W576" s="21">
        <f>ROUND(IF(IFERROR(PROPERTIES[[#This Row],[TE_COEFFICIENT_CALC]],0)=0,PROPERTIES[[#This Row],[TE_COEFFICIENT_MANUAL]],PROPERTIES[[#This Row],[TE_COEFFICIENT_CALC]]),3)</f>
        <v>0.3</v>
      </c>
      <c r="X576" s="9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1">
        <v>0</v>
      </c>
      <c r="Z576" s="7">
        <v>0</v>
      </c>
      <c r="AA576" t="s">
        <v>250</v>
      </c>
      <c r="AB576" t="s">
        <v>238</v>
      </c>
      <c r="AC576" t="s">
        <v>238</v>
      </c>
      <c r="AD576" s="2" t="s">
        <v>238</v>
      </c>
      <c r="AE576" s="2" t="s">
        <v>254</v>
      </c>
      <c r="AF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6" s="2" t="str">
        <f>SUBSTITUTE(SUBSTITUTE(PROPERTIES[[#This Row],[PURCHASECOST_VALUE]], "PURCHASECOST_", ""), "_VALUE", "")</f>
        <v>WAGON</v>
      </c>
      <c r="AI576" s="7" t="str" cm="1">
        <f t="array" ref="AI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6" s="43" t="b">
        <v>0</v>
      </c>
      <c r="AK576" s="8" t="b">
        <v>0</v>
      </c>
      <c r="BB576"/>
      <c r="BC576"/>
      <c r="BD576"/>
    </row>
    <row r="577" spans="1:56">
      <c r="A577" s="2" t="s">
        <v>224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5" t="str">
        <f>_xlfn.XLOOKUP(PROPERTIES[[#This Row],[VEHIDCODE]],CONTROL[VEHIDCODE],CONTROL[ENGLISH])</f>
        <v>7th Gen Container Doublestack</v>
      </c>
      <c r="G577" s="45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8">
        <v>25</v>
      </c>
      <c r="R577">
        <v>0</v>
      </c>
      <c r="S577">
        <v>180</v>
      </c>
      <c r="T577" s="25">
        <v>0</v>
      </c>
      <c r="U577" s="24">
        <f>IFERROR(PROPERTIES[[#This Row],[TE_STARTING_KN]]/(PROPERTIES[[#This Row],[WEIGHT]]*9.81),0)</f>
        <v>0</v>
      </c>
      <c r="V577" s="24">
        <v>0.3</v>
      </c>
      <c r="W577" s="21">
        <f>ROUND(IF(IFERROR(PROPERTIES[[#This Row],[TE_COEFFICIENT_CALC]],0)=0,PROPERTIES[[#This Row],[TE_COEFFICIENT_MANUAL]],PROPERTIES[[#This Row],[TE_COEFFICIENT_CALC]]),3)</f>
        <v>0.3</v>
      </c>
      <c r="X577" s="9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1">
        <v>0</v>
      </c>
      <c r="Z577" s="7">
        <v>0</v>
      </c>
      <c r="AA577" t="s">
        <v>250</v>
      </c>
      <c r="AB577" t="s">
        <v>238</v>
      </c>
      <c r="AC577" t="s">
        <v>238</v>
      </c>
      <c r="AD577" s="2" t="s">
        <v>238</v>
      </c>
      <c r="AE577" s="2" t="s">
        <v>254</v>
      </c>
      <c r="AF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7" s="2" t="str">
        <f>SUBSTITUTE(SUBSTITUTE(PROPERTIES[[#This Row],[PURCHASECOST_VALUE]], "PURCHASECOST_", ""), "_VALUE", "")</f>
        <v>WAGON</v>
      </c>
      <c r="AI577" s="7" t="str" cm="1">
        <f t="array" ref="AI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7" s="43" t="b">
        <v>0</v>
      </c>
      <c r="AK577" s="8" t="b">
        <v>0</v>
      </c>
      <c r="BB577"/>
      <c r="BC577"/>
      <c r="BD577"/>
    </row>
    <row r="578" spans="1:56">
      <c r="A578" s="2" t="s">
        <v>225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5" t="str">
        <f>_xlfn.XLOOKUP(PROPERTIES[[#This Row],[VEHIDCODE]],CONTROL[VEHIDCODE],CONTROL[ENGLISH])</f>
        <v>7th Gen Flatcar</v>
      </c>
      <c r="G578" s="45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8">
        <v>23</v>
      </c>
      <c r="R578">
        <v>0</v>
      </c>
      <c r="S578">
        <v>180</v>
      </c>
      <c r="T578" s="25">
        <v>0</v>
      </c>
      <c r="U578" s="24">
        <f>IFERROR(PROPERTIES[[#This Row],[TE_STARTING_KN]]/(PROPERTIES[[#This Row],[WEIGHT]]*9.81),0)</f>
        <v>0</v>
      </c>
      <c r="V578" s="24">
        <v>0.3</v>
      </c>
      <c r="W578" s="21">
        <f>ROUND(IF(IFERROR(PROPERTIES[[#This Row],[TE_COEFFICIENT_CALC]],0)=0,PROPERTIES[[#This Row],[TE_COEFFICIENT_MANUAL]],PROPERTIES[[#This Row],[TE_COEFFICIENT_CALC]]),3)</f>
        <v>0.3</v>
      </c>
      <c r="X578" s="9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1">
        <v>0</v>
      </c>
      <c r="Z578" s="7">
        <v>0</v>
      </c>
      <c r="AA578" t="s">
        <v>250</v>
      </c>
      <c r="AB578" t="s">
        <v>238</v>
      </c>
      <c r="AC578" t="s">
        <v>238</v>
      </c>
      <c r="AD578" s="2" t="s">
        <v>238</v>
      </c>
      <c r="AE578" s="2" t="s">
        <v>254</v>
      </c>
      <c r="AF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8" s="2" t="str">
        <f>SUBSTITUTE(SUBSTITUTE(PROPERTIES[[#This Row],[PURCHASECOST_VALUE]], "PURCHASECOST_", ""), "_VALUE", "")</f>
        <v>WAGON</v>
      </c>
      <c r="AI578" s="7" t="str" cm="1">
        <f t="array" ref="AI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8" s="43" t="b">
        <v>0</v>
      </c>
      <c r="AK578" s="8" t="b">
        <v>0</v>
      </c>
      <c r="BB578"/>
      <c r="BC578"/>
      <c r="BD578"/>
    </row>
    <row r="579" spans="1:56">
      <c r="A579" s="2" t="s">
        <v>226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5" t="str">
        <f>_xlfn.XLOOKUP(PROPERTIES[[#This Row],[VEHIDCODE]],CONTROL[VEHIDCODE],CONTROL[ENGLISH])</f>
        <v>7th Gen Gondola</v>
      </c>
      <c r="G579" s="45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8">
        <v>22</v>
      </c>
      <c r="R579">
        <v>0</v>
      </c>
      <c r="S579">
        <v>180</v>
      </c>
      <c r="T579" s="25">
        <v>0</v>
      </c>
      <c r="U579" s="24">
        <f>IFERROR(PROPERTIES[[#This Row],[TE_STARTING_KN]]/(PROPERTIES[[#This Row],[WEIGHT]]*9.81),0)</f>
        <v>0</v>
      </c>
      <c r="V579" s="24">
        <v>0.3</v>
      </c>
      <c r="W579" s="21">
        <f>ROUND(IF(IFERROR(PROPERTIES[[#This Row],[TE_COEFFICIENT_CALC]],0)=0,PROPERTIES[[#This Row],[TE_COEFFICIENT_MANUAL]],PROPERTIES[[#This Row],[TE_COEFFICIENT_CALC]]),3)</f>
        <v>0.3</v>
      </c>
      <c r="X579" s="9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1">
        <v>0</v>
      </c>
      <c r="Z579" s="7">
        <v>0</v>
      </c>
      <c r="AA579" t="s">
        <v>250</v>
      </c>
      <c r="AB579" t="s">
        <v>238</v>
      </c>
      <c r="AC579" t="s">
        <v>238</v>
      </c>
      <c r="AD579" s="2" t="s">
        <v>238</v>
      </c>
      <c r="AE579" s="2" t="s">
        <v>254</v>
      </c>
      <c r="AF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9" s="2" t="str">
        <f>SUBSTITUTE(SUBSTITUTE(PROPERTIES[[#This Row],[PURCHASECOST_VALUE]], "PURCHASECOST_", ""), "_VALUE", "")</f>
        <v>WAGON</v>
      </c>
      <c r="AI579" s="7" t="str" cm="1">
        <f t="array" ref="AI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9" s="43" t="b">
        <v>0</v>
      </c>
      <c r="AK579" s="8" t="b">
        <v>0</v>
      </c>
      <c r="BB579"/>
      <c r="BC579"/>
      <c r="BD579"/>
    </row>
    <row r="580" spans="1:56">
      <c r="A580" s="2" t="s">
        <v>227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5" t="str">
        <f>_xlfn.XLOOKUP(PROPERTIES[[#This Row],[VEHIDCODE]],CONTROL[VEHIDCODE],CONTROL[ENGLISH])</f>
        <v>7th Gen Heavy Flatcar</v>
      </c>
      <c r="G580" s="45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8">
        <v>42</v>
      </c>
      <c r="R580">
        <v>0</v>
      </c>
      <c r="S580">
        <v>160</v>
      </c>
      <c r="T580" s="25">
        <v>0</v>
      </c>
      <c r="U580" s="24">
        <f>IFERROR(PROPERTIES[[#This Row],[TE_STARTING_KN]]/(PROPERTIES[[#This Row],[WEIGHT]]*9.81),0)</f>
        <v>0</v>
      </c>
      <c r="V580" s="24">
        <v>0.3</v>
      </c>
      <c r="W580" s="21">
        <f>ROUND(IF(IFERROR(PROPERTIES[[#This Row],[TE_COEFFICIENT_CALC]],0)=0,PROPERTIES[[#This Row],[TE_COEFFICIENT_MANUAL]],PROPERTIES[[#This Row],[TE_COEFFICIENT_CALC]]),3)</f>
        <v>0.3</v>
      </c>
      <c r="X580" s="9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1">
        <v>0</v>
      </c>
      <c r="Z580" s="7">
        <v>0</v>
      </c>
      <c r="AA580" t="s">
        <v>250</v>
      </c>
      <c r="AB580" t="s">
        <v>238</v>
      </c>
      <c r="AC580" t="s">
        <v>238</v>
      </c>
      <c r="AD580" s="2" t="s">
        <v>238</v>
      </c>
      <c r="AE580" s="2" t="s">
        <v>254</v>
      </c>
      <c r="AF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0" s="2" t="str">
        <f>SUBSTITUTE(SUBSTITUTE(PROPERTIES[[#This Row],[PURCHASECOST_VALUE]], "PURCHASECOST_", ""), "_VALUE", "")</f>
        <v>WAGON</v>
      </c>
      <c r="AI580" s="7" t="str" cm="1">
        <f t="array" ref="AI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0" s="43" t="b">
        <v>0</v>
      </c>
      <c r="AK580" s="8" t="b">
        <v>0</v>
      </c>
      <c r="BB580"/>
      <c r="BC580"/>
      <c r="BD580"/>
    </row>
    <row r="581" spans="1:56">
      <c r="A581" s="2" t="s">
        <v>228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5" t="str">
        <f>_xlfn.XLOOKUP(PROPERTIES[[#This Row],[VEHIDCODE]],CONTROL[VEHIDCODE],CONTROL[ENGLISH])</f>
        <v>7th Gen Self-discharging Hopper [Food]</v>
      </c>
      <c r="G581" s="45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1715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8">
        <v>26</v>
      </c>
      <c r="R581">
        <v>0</v>
      </c>
      <c r="S581">
        <v>180</v>
      </c>
      <c r="T581" s="25">
        <v>0</v>
      </c>
      <c r="U581" s="24">
        <f>IFERROR(PROPERTIES[[#This Row],[TE_STARTING_KN]]/(PROPERTIES[[#This Row],[WEIGHT]]*9.81),0)</f>
        <v>0</v>
      </c>
      <c r="V581" s="24">
        <v>0.3</v>
      </c>
      <c r="W581" s="21">
        <f>ROUND(IF(IFERROR(PROPERTIES[[#This Row],[TE_COEFFICIENT_CALC]],0)=0,PROPERTIES[[#This Row],[TE_COEFFICIENT_MANUAL]],PROPERTIES[[#This Row],[TE_COEFFICIENT_CALC]]),3)</f>
        <v>0.3</v>
      </c>
      <c r="X581" s="9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1">
        <v>0</v>
      </c>
      <c r="Z581" s="7">
        <v>0</v>
      </c>
      <c r="AA581" t="s">
        <v>250</v>
      </c>
      <c r="AB581" t="s">
        <v>238</v>
      </c>
      <c r="AC581" t="s">
        <v>238</v>
      </c>
      <c r="AD581" s="2" t="s">
        <v>238</v>
      </c>
      <c r="AE581" s="2" t="s">
        <v>254</v>
      </c>
      <c r="AF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1" s="2" t="str">
        <f>SUBSTITUTE(SUBSTITUTE(PROPERTIES[[#This Row],[PURCHASECOST_VALUE]], "PURCHASECOST_", ""), "_VALUE", "")</f>
        <v>WAGON</v>
      </c>
      <c r="AI581" s="7" t="str" cm="1">
        <f t="array" ref="AI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1" s="43" t="b">
        <v>0</v>
      </c>
      <c r="AK581" s="8" t="b">
        <v>0</v>
      </c>
      <c r="BB581"/>
      <c r="BC581"/>
      <c r="BD581"/>
    </row>
    <row r="582" spans="1:56">
      <c r="A582" s="2" t="s">
        <v>229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5" t="str">
        <f>_xlfn.XLOOKUP(PROPERTIES[[#This Row],[VEHIDCODE]],CONTROL[VEHIDCODE],CONTROL[ENGLISH])</f>
        <v>7th Gen Self-discharging Hopper [Non-Food]</v>
      </c>
      <c r="G582" s="45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1718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8">
        <v>26</v>
      </c>
      <c r="R582">
        <v>0</v>
      </c>
      <c r="S582">
        <v>180</v>
      </c>
      <c r="T582" s="25">
        <v>0</v>
      </c>
      <c r="U582" s="24">
        <f>IFERROR(PROPERTIES[[#This Row],[TE_STARTING_KN]]/(PROPERTIES[[#This Row],[WEIGHT]]*9.81),0)</f>
        <v>0</v>
      </c>
      <c r="V582" s="24">
        <v>0.3</v>
      </c>
      <c r="W582" s="21">
        <f>ROUND(IF(IFERROR(PROPERTIES[[#This Row],[TE_COEFFICIENT_CALC]],0)=0,PROPERTIES[[#This Row],[TE_COEFFICIENT_MANUAL]],PROPERTIES[[#This Row],[TE_COEFFICIENT_CALC]]),3)</f>
        <v>0.3</v>
      </c>
      <c r="X582" s="9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1">
        <v>0</v>
      </c>
      <c r="Z582" s="7">
        <v>0</v>
      </c>
      <c r="AA582" t="s">
        <v>250</v>
      </c>
      <c r="AB582" t="s">
        <v>238</v>
      </c>
      <c r="AC582" t="s">
        <v>238</v>
      </c>
      <c r="AD582" s="2" t="s">
        <v>238</v>
      </c>
      <c r="AE582" s="2" t="s">
        <v>254</v>
      </c>
      <c r="AF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2" s="2" t="str">
        <f>SUBSTITUTE(SUBSTITUTE(PROPERTIES[[#This Row],[PURCHASECOST_VALUE]], "PURCHASECOST_", ""), "_VALUE", "")</f>
        <v>WAGON</v>
      </c>
      <c r="AI582" s="7" t="str" cm="1">
        <f t="array" ref="AI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2" s="43" t="b">
        <v>0</v>
      </c>
      <c r="AK582" s="8" t="b">
        <v>0</v>
      </c>
      <c r="BB582"/>
      <c r="BC582"/>
      <c r="BD582"/>
    </row>
    <row r="583" spans="1:56">
      <c r="A583" s="2" t="s">
        <v>230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5" t="str">
        <f>_xlfn.XLOOKUP(PROPERTIES[[#This Row],[VEHIDCODE]],CONTROL[VEHIDCODE],CONTROL[ENGLISH])</f>
        <v>7th Gen Silo [Food]</v>
      </c>
      <c r="G583" s="45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1716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8">
        <v>27</v>
      </c>
      <c r="R583">
        <v>0</v>
      </c>
      <c r="S583">
        <v>180</v>
      </c>
      <c r="T583" s="25">
        <v>0</v>
      </c>
      <c r="U583" s="24">
        <f>IFERROR(PROPERTIES[[#This Row],[TE_STARTING_KN]]/(PROPERTIES[[#This Row],[WEIGHT]]*9.81),0)</f>
        <v>0</v>
      </c>
      <c r="V583" s="24">
        <v>0.3</v>
      </c>
      <c r="W583" s="21">
        <f>ROUND(IF(IFERROR(PROPERTIES[[#This Row],[TE_COEFFICIENT_CALC]],0)=0,PROPERTIES[[#This Row],[TE_COEFFICIENT_MANUAL]],PROPERTIES[[#This Row],[TE_COEFFICIENT_CALC]]),3)</f>
        <v>0.3</v>
      </c>
      <c r="X583" s="9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1">
        <v>0</v>
      </c>
      <c r="Z583" s="7">
        <v>0</v>
      </c>
      <c r="AA583" t="s">
        <v>250</v>
      </c>
      <c r="AB583" t="s">
        <v>238</v>
      </c>
      <c r="AC583" t="s">
        <v>238</v>
      </c>
      <c r="AD583" s="2" t="s">
        <v>238</v>
      </c>
      <c r="AE583" s="2" t="s">
        <v>254</v>
      </c>
      <c r="AF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3" s="2" t="str">
        <f>SUBSTITUTE(SUBSTITUTE(PROPERTIES[[#This Row],[PURCHASECOST_VALUE]], "PURCHASECOST_", ""), "_VALUE", "")</f>
        <v>WAGON</v>
      </c>
      <c r="AI583" s="7" t="str" cm="1">
        <f t="array" ref="AI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3" s="43" t="b">
        <v>0</v>
      </c>
      <c r="AK583" s="8" t="b">
        <v>0</v>
      </c>
      <c r="BB583"/>
      <c r="BC583"/>
      <c r="BD583"/>
    </row>
    <row r="584" spans="1:56">
      <c r="A584" s="2" t="s">
        <v>231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5" t="str">
        <f>_xlfn.XLOOKUP(PROPERTIES[[#This Row],[VEHIDCODE]],CONTROL[VEHIDCODE],CONTROL[ENGLISH])</f>
        <v>7th Gen Silo [Non-Food]</v>
      </c>
      <c r="G584" s="45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1719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8">
        <v>27</v>
      </c>
      <c r="R584">
        <v>0</v>
      </c>
      <c r="S584">
        <v>180</v>
      </c>
      <c r="T584" s="25">
        <v>0</v>
      </c>
      <c r="U584" s="24">
        <f>IFERROR(PROPERTIES[[#This Row],[TE_STARTING_KN]]/(PROPERTIES[[#This Row],[WEIGHT]]*9.81),0)</f>
        <v>0</v>
      </c>
      <c r="V584" s="24">
        <v>0.3</v>
      </c>
      <c r="W584" s="21">
        <f>ROUND(IF(IFERROR(PROPERTIES[[#This Row],[TE_COEFFICIENT_CALC]],0)=0,PROPERTIES[[#This Row],[TE_COEFFICIENT_MANUAL]],PROPERTIES[[#This Row],[TE_COEFFICIENT_CALC]]),3)</f>
        <v>0.3</v>
      </c>
      <c r="X584" s="9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1">
        <v>0</v>
      </c>
      <c r="Z584" s="7">
        <v>0</v>
      </c>
      <c r="AA584" t="s">
        <v>250</v>
      </c>
      <c r="AB584" t="s">
        <v>238</v>
      </c>
      <c r="AC584" t="s">
        <v>238</v>
      </c>
      <c r="AD584" s="2" t="s">
        <v>238</v>
      </c>
      <c r="AE584" s="2" t="s">
        <v>254</v>
      </c>
      <c r="AF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4" s="2" t="str">
        <f>SUBSTITUTE(SUBSTITUTE(PROPERTIES[[#This Row],[PURCHASECOST_VALUE]], "PURCHASECOST_", ""), "_VALUE", "")</f>
        <v>WAGON</v>
      </c>
      <c r="AI584" s="7" t="str" cm="1">
        <f t="array" ref="AI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4" s="43" t="b">
        <v>0</v>
      </c>
      <c r="AK584" s="8" t="b">
        <v>0</v>
      </c>
      <c r="BB584"/>
      <c r="BC584"/>
      <c r="BD584"/>
    </row>
    <row r="585" spans="1:56">
      <c r="A585" s="2" t="s">
        <v>232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5" t="str">
        <f>_xlfn.XLOOKUP(PROPERTIES[[#This Row],[VEHIDCODE]],CONTROL[VEHIDCODE],CONTROL[ENGLISH])</f>
        <v>7th Gen Superheavy Flatcar</v>
      </c>
      <c r="G585" s="45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8">
        <v>50</v>
      </c>
      <c r="R585">
        <v>0</v>
      </c>
      <c r="S585">
        <v>160</v>
      </c>
      <c r="T585" s="25">
        <v>0</v>
      </c>
      <c r="U585" s="24">
        <f>IFERROR(PROPERTIES[[#This Row],[TE_STARTING_KN]]/(PROPERTIES[[#This Row],[WEIGHT]]*9.81),0)</f>
        <v>0</v>
      </c>
      <c r="V585" s="24">
        <v>0.3</v>
      </c>
      <c r="W585" s="21">
        <f>ROUND(IF(IFERROR(PROPERTIES[[#This Row],[TE_COEFFICIENT_CALC]],0)=0,PROPERTIES[[#This Row],[TE_COEFFICIENT_MANUAL]],PROPERTIES[[#This Row],[TE_COEFFICIENT_CALC]]),3)</f>
        <v>0.3</v>
      </c>
      <c r="X585" s="9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1">
        <v>0</v>
      </c>
      <c r="Z585" s="7">
        <v>0</v>
      </c>
      <c r="AA585" t="s">
        <v>250</v>
      </c>
      <c r="AB585" t="s">
        <v>238</v>
      </c>
      <c r="AC585" t="s">
        <v>238</v>
      </c>
      <c r="AD585" s="2" t="s">
        <v>238</v>
      </c>
      <c r="AE585" s="2" t="s">
        <v>254</v>
      </c>
      <c r="AF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5" s="2" t="str">
        <f>SUBSTITUTE(SUBSTITUTE(PROPERTIES[[#This Row],[PURCHASECOST_VALUE]], "PURCHASECOST_", ""), "_VALUE", "")</f>
        <v>WAGON</v>
      </c>
      <c r="AI585" s="7" t="str" cm="1">
        <f t="array" ref="AI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5" s="43" t="b">
        <v>0</v>
      </c>
      <c r="AK585" s="8" t="b">
        <v>0</v>
      </c>
      <c r="BB585"/>
      <c r="BC585"/>
      <c r="BD585"/>
    </row>
    <row r="586" spans="1:56">
      <c r="A586" s="2" t="s">
        <v>233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5" t="str">
        <f>_xlfn.XLOOKUP(PROPERTIES[[#This Row],[VEHIDCODE]],CONTROL[VEHIDCODE],CONTROL[ENGLISH])</f>
        <v>7th Gen Tanker</v>
      </c>
      <c r="G586" s="45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8">
        <v>24</v>
      </c>
      <c r="R586">
        <v>0</v>
      </c>
      <c r="S586">
        <v>180</v>
      </c>
      <c r="T586" s="25">
        <v>0</v>
      </c>
      <c r="U586" s="24">
        <f>IFERROR(PROPERTIES[[#This Row],[TE_STARTING_KN]]/(PROPERTIES[[#This Row],[WEIGHT]]*9.81),0)</f>
        <v>0</v>
      </c>
      <c r="V586" s="24">
        <v>0.3</v>
      </c>
      <c r="W586" s="21">
        <f>ROUND(IF(IFERROR(PROPERTIES[[#This Row],[TE_COEFFICIENT_CALC]],0)=0,PROPERTIES[[#This Row],[TE_COEFFICIENT_MANUAL]],PROPERTIES[[#This Row],[TE_COEFFICIENT_CALC]]),3)</f>
        <v>0.3</v>
      </c>
      <c r="X586" s="9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1">
        <v>0</v>
      </c>
      <c r="Z586" s="7">
        <v>0</v>
      </c>
      <c r="AA586" t="s">
        <v>250</v>
      </c>
      <c r="AB586" t="s">
        <v>238</v>
      </c>
      <c r="AC586" t="s">
        <v>238</v>
      </c>
      <c r="AD586" s="2" t="s">
        <v>238</v>
      </c>
      <c r="AE586" s="2" t="s">
        <v>254</v>
      </c>
      <c r="AF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6" s="2" t="str">
        <f>SUBSTITUTE(SUBSTITUTE(PROPERTIES[[#This Row],[PURCHASECOST_VALUE]], "PURCHASECOST_", ""), "_VALUE", "")</f>
        <v>WAGON</v>
      </c>
      <c r="AI586" s="7" t="str" cm="1">
        <f t="array" ref="AI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6" s="43" t="b">
        <v>0</v>
      </c>
      <c r="AK586" s="8" t="b">
        <v>0</v>
      </c>
      <c r="BB586"/>
      <c r="BC586"/>
      <c r="BD586"/>
    </row>
    <row r="587" spans="1:56">
      <c r="A587" s="2" t="s">
        <v>3284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5" t="str">
        <f>_xlfn.XLOOKUP(PROPERTIES[[#This Row],[VEHIDCODE]],CONTROL[VEHIDCODE],CONTROL[ENGLISH])</f>
        <v>Niigata Transys Shikoku 1000</v>
      </c>
      <c r="F587" t="s">
        <v>679</v>
      </c>
      <c r="G587" s="45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8">
        <v>32</v>
      </c>
      <c r="R587">
        <v>400</v>
      </c>
      <c r="S587">
        <v>110</v>
      </c>
      <c r="T587" s="25">
        <v>65</v>
      </c>
      <c r="U587" s="24">
        <f>IFERROR(PROPERTIES[[#This Row],[TE_STARTING_KN]]/(PROPERTIES[[#This Row],[WEIGHT]]*9.81),0)</f>
        <v>0.207059123343527</v>
      </c>
      <c r="V587" s="24">
        <v>0</v>
      </c>
      <c r="W587" s="21">
        <f>ROUND(IF(IFERROR(PROPERTIES[[#This Row],[TE_COEFFICIENT_CALC]],0)=0,PROPERTIES[[#This Row],[TE_COEFFICIENT_MANUAL]],PROPERTIES[[#This Row],[TE_COEFFICIENT_CALC]]),3)</f>
        <v>0.20699999999999999</v>
      </c>
      <c r="X587" s="9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1">
        <v>0</v>
      </c>
      <c r="Z587" s="7">
        <v>0</v>
      </c>
      <c r="AA587" t="s">
        <v>247</v>
      </c>
      <c r="AB587" t="s">
        <v>238</v>
      </c>
      <c r="AC587" t="s">
        <v>238</v>
      </c>
      <c r="AD587" s="2" t="s">
        <v>238</v>
      </c>
      <c r="AE587" s="2" t="s">
        <v>253</v>
      </c>
      <c r="AF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7" s="2" t="str">
        <f>SUBSTITUTE(SUBSTITUTE(PROPERTIES[[#This Row],[PURCHASECOST_VALUE]], "PURCHASECOST_", ""), "_VALUE", "")</f>
        <v>DIESELRAILBUS</v>
      </c>
      <c r="AI587" s="7" t="str" cm="1">
        <f t="array" ref="AI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7" s="43" t="b">
        <v>0</v>
      </c>
      <c r="AK587" s="8" t="b">
        <v>0</v>
      </c>
      <c r="BB587"/>
      <c r="BC587"/>
      <c r="BD587"/>
    </row>
    <row r="588" spans="1:56">
      <c r="A588" s="2" t="s">
        <v>3285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5" t="str">
        <f>_xlfn.XLOOKUP(PROPERTIES[[#This Row],[VEHIDCODE]],CONTROL[VEHIDCODE],CONTROL[ENGLISH])</f>
        <v>Niigata Transys KiHa E120</v>
      </c>
      <c r="F588" t="s">
        <v>679</v>
      </c>
      <c r="G588" s="45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8">
        <v>39</v>
      </c>
      <c r="R588">
        <v>444</v>
      </c>
      <c r="S588">
        <v>100</v>
      </c>
      <c r="T588" s="25">
        <v>60</v>
      </c>
      <c r="U588" s="24">
        <f>IFERROR(PROPERTIES[[#This Row],[TE_STARTING_KN]]/(PROPERTIES[[#This Row],[WEIGHT]]*9.81),0)</f>
        <v>0.15682584489923937</v>
      </c>
      <c r="V588" s="24">
        <v>0</v>
      </c>
      <c r="W588" s="21">
        <f>ROUND(IF(IFERROR(PROPERTIES[[#This Row],[TE_COEFFICIENT_CALC]],0)=0,PROPERTIES[[#This Row],[TE_COEFFICIENT_MANUAL]],PROPERTIES[[#This Row],[TE_COEFFICIENT_CALC]]),3)</f>
        <v>0.157</v>
      </c>
      <c r="X588" s="9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1">
        <v>0</v>
      </c>
      <c r="Z588" s="7">
        <v>0</v>
      </c>
      <c r="AA588" t="s">
        <v>247</v>
      </c>
      <c r="AB588" t="s">
        <v>238</v>
      </c>
      <c r="AC588" t="s">
        <v>238</v>
      </c>
      <c r="AD588" s="2" t="s">
        <v>238</v>
      </c>
      <c r="AE588" s="2" t="s">
        <v>253</v>
      </c>
      <c r="AF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8" s="2" t="str">
        <f>SUBSTITUTE(SUBSTITUTE(PROPERTIES[[#This Row],[PURCHASECOST_VALUE]], "PURCHASECOST_", ""), "_VALUE", "")</f>
        <v>DIESELRAILBUS</v>
      </c>
      <c r="AI588" s="7" t="str" cm="1">
        <f t="array" ref="AI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8" s="43" t="b">
        <v>0</v>
      </c>
      <c r="AK588" s="8" t="b">
        <v>0</v>
      </c>
      <c r="BB588"/>
      <c r="BC588"/>
      <c r="BD588"/>
    </row>
    <row r="589" spans="1:56">
      <c r="A589" s="2" t="s">
        <v>3286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5" t="str">
        <f>_xlfn.XLOOKUP(PROPERTIES[[#This Row],[VEHIDCODE]],CONTROL[VEHIDCODE],CONTROL[ENGLISH])</f>
        <v>Ferrostaal SB-56</v>
      </c>
      <c r="F589" t="s">
        <v>612</v>
      </c>
      <c r="G589" s="45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8">
        <v>30.3</v>
      </c>
      <c r="R589">
        <v>180</v>
      </c>
      <c r="S589">
        <v>80</v>
      </c>
      <c r="T589" s="25">
        <v>22</v>
      </c>
      <c r="U589" s="24">
        <f>IFERROR(PROPERTIES[[#This Row],[TE_STARTING_KN]]/(PROPERTIES[[#This Row],[WEIGHT]]*9.81),0)</f>
        <v>7.4013517559707045E-2</v>
      </c>
      <c r="V589" s="24">
        <v>0</v>
      </c>
      <c r="W589" s="21">
        <f>ROUND(IF(IFERROR(PROPERTIES[[#This Row],[TE_COEFFICIENT_CALC]],0)=0,PROPERTIES[[#This Row],[TE_COEFFICIENT_MANUAL]],PROPERTIES[[#This Row],[TE_COEFFICIENT_CALC]]),3)</f>
        <v>7.3999999999999996E-2</v>
      </c>
      <c r="X589" s="9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1">
        <v>0</v>
      </c>
      <c r="Z589" s="7">
        <v>0</v>
      </c>
      <c r="AA589" t="s">
        <v>246</v>
      </c>
      <c r="AB589" t="s">
        <v>238</v>
      </c>
      <c r="AC589" t="s">
        <v>238</v>
      </c>
      <c r="AD589" s="2" t="s">
        <v>238</v>
      </c>
      <c r="AE589" s="2" t="s">
        <v>253</v>
      </c>
      <c r="AF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9" s="2" t="str">
        <f>SUBSTITUTE(SUBSTITUTE(PROPERTIES[[#This Row],[PURCHASECOST_VALUE]], "PURCHASECOST_", ""), "_VALUE", "")</f>
        <v>DIESELRAILBUS</v>
      </c>
      <c r="AI589" s="7" t="str" cm="1">
        <f t="array" ref="AI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9" s="43" t="b">
        <v>0</v>
      </c>
      <c r="AK589" s="8" t="b">
        <v>0</v>
      </c>
      <c r="BB589"/>
      <c r="BC589"/>
      <c r="BD589"/>
    </row>
    <row r="590" spans="1:56">
      <c r="A590" s="2" t="s">
        <v>3287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5" t="str">
        <f>_xlfn.XLOOKUP(PROPERTIES[[#This Row],[VEHIDCODE]],CONTROL[VEHIDCODE],CONTROL[ENGLISH])</f>
        <v>Sulzer M Railcar</v>
      </c>
      <c r="F590" t="s">
        <v>577</v>
      </c>
      <c r="G590" s="45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8">
        <v>37</v>
      </c>
      <c r="R590">
        <v>270</v>
      </c>
      <c r="S590">
        <v>80</v>
      </c>
      <c r="T590" s="25">
        <v>42</v>
      </c>
      <c r="U590" s="24">
        <f>IFERROR(PROPERTIES[[#This Row],[TE_STARTING_KN]]/(PROPERTIES[[#This Row],[WEIGHT]]*9.81),0)</f>
        <v>0.11571204231754689</v>
      </c>
      <c r="V590" s="24">
        <v>0</v>
      </c>
      <c r="W590" s="21">
        <f>ROUND(IF(IFERROR(PROPERTIES[[#This Row],[TE_COEFFICIENT_CALC]],0)=0,PROPERTIES[[#This Row],[TE_COEFFICIENT_MANUAL]],PROPERTIES[[#This Row],[TE_COEFFICIENT_CALC]]),3)</f>
        <v>0.11600000000000001</v>
      </c>
      <c r="X590" s="9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1">
        <v>0</v>
      </c>
      <c r="Z590" s="7">
        <v>0</v>
      </c>
      <c r="AA590" t="s">
        <v>246</v>
      </c>
      <c r="AB590" t="s">
        <v>238</v>
      </c>
      <c r="AC590" t="s">
        <v>238</v>
      </c>
      <c r="AD590" s="2" t="s">
        <v>238</v>
      </c>
      <c r="AE590" s="2" t="s">
        <v>253</v>
      </c>
      <c r="AF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0" s="2" t="str">
        <f>SUBSTITUTE(SUBSTITUTE(PROPERTIES[[#This Row],[PURCHASECOST_VALUE]], "PURCHASECOST_", ""), "_VALUE", "")</f>
        <v>DIESELRAILBUS</v>
      </c>
      <c r="AI590" s="7" t="str" cm="1">
        <f t="array" ref="AI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0" s="43" t="b">
        <v>0</v>
      </c>
      <c r="AK590" s="8" t="b">
        <v>0</v>
      </c>
      <c r="BB590"/>
      <c r="BC590"/>
      <c r="BD590"/>
    </row>
    <row r="591" spans="1:56">
      <c r="A591" s="2" t="s">
        <v>3288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5" t="str">
        <f>_xlfn.XLOOKUP(PROPERTIES[[#This Row],[VEHIDCODE]],CONTROL[VEHIDCODE],CONTROL[ENGLISH])</f>
        <v>Eritrean Railway A.62-70 'Littorina'</v>
      </c>
      <c r="F591" t="s">
        <v>633</v>
      </c>
      <c r="G591" s="45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8">
        <v>24</v>
      </c>
      <c r="R591">
        <v>290</v>
      </c>
      <c r="S591">
        <v>80</v>
      </c>
      <c r="T591" s="25">
        <v>32</v>
      </c>
      <c r="U591" s="24">
        <f>IFERROR(PROPERTIES[[#This Row],[TE_STARTING_KN]]/(PROPERTIES[[#This Row],[WEIGHT]]*9.81),0)</f>
        <v>0.13591573224600748</v>
      </c>
      <c r="V591" s="24">
        <v>0</v>
      </c>
      <c r="W591" s="21">
        <f>ROUND(IF(IFERROR(PROPERTIES[[#This Row],[TE_COEFFICIENT_CALC]],0)=0,PROPERTIES[[#This Row],[TE_COEFFICIENT_MANUAL]],PROPERTIES[[#This Row],[TE_COEFFICIENT_CALC]]),3)</f>
        <v>0.13600000000000001</v>
      </c>
      <c r="X591" s="9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1">
        <v>0</v>
      </c>
      <c r="Z591" s="7">
        <v>0</v>
      </c>
      <c r="AA591" t="s">
        <v>242</v>
      </c>
      <c r="AB591" t="s">
        <v>238</v>
      </c>
      <c r="AC591" t="s">
        <v>238</v>
      </c>
      <c r="AD591" s="2" t="s">
        <v>238</v>
      </c>
      <c r="AE591" s="2" t="s">
        <v>253</v>
      </c>
      <c r="AF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1" s="2" t="str">
        <f>SUBSTITUTE(SUBSTITUTE(PROPERTIES[[#This Row],[PURCHASECOST_VALUE]], "PURCHASECOST_", ""), "_VALUE", "")</f>
        <v>DIESELRAILBUS</v>
      </c>
      <c r="AI591" s="7" t="str" cm="1">
        <f t="array" ref="AI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1" s="43" t="b">
        <v>0</v>
      </c>
      <c r="AK591" s="8" t="b">
        <v>0</v>
      </c>
      <c r="BB591"/>
      <c r="BC591"/>
      <c r="BD591"/>
    </row>
    <row r="592" spans="1:56">
      <c r="A592" s="2" t="s">
        <v>3289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5" t="str">
        <f>_xlfn.XLOOKUP(PROPERTIES[[#This Row],[VEHIDCODE]],CONTROL[VEHIDCODE],CONTROL[ENGLISH])</f>
        <v>SLM CFe 3/3</v>
      </c>
      <c r="F592" t="s">
        <v>609</v>
      </c>
      <c r="G592" s="45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8">
        <v>34</v>
      </c>
      <c r="R592">
        <v>340</v>
      </c>
      <c r="S592">
        <v>35</v>
      </c>
      <c r="T592" s="25">
        <v>78</v>
      </c>
      <c r="U592" s="24">
        <f>IFERROR(PROPERTIES[[#This Row],[TE_STARTING_KN]]/(PROPERTIES[[#This Row],[WEIGHT]]*9.81),0)</f>
        <v>0.23385500989386579</v>
      </c>
      <c r="V592" s="24">
        <v>0</v>
      </c>
      <c r="W592" s="21">
        <f>ROUND(IF(IFERROR(PROPERTIES[[#This Row],[TE_COEFFICIENT_CALC]],0)=0,PROPERTIES[[#This Row],[TE_COEFFICIENT_MANUAL]],PROPERTIES[[#This Row],[TE_COEFFICIENT_CALC]]),3)</f>
        <v>0.23400000000000001</v>
      </c>
      <c r="X592" s="9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1">
        <v>0</v>
      </c>
      <c r="Z592" s="7">
        <v>0</v>
      </c>
      <c r="AA592" t="s">
        <v>239</v>
      </c>
      <c r="AB592" t="s">
        <v>238</v>
      </c>
      <c r="AC592" t="s">
        <v>238</v>
      </c>
      <c r="AD592" s="2" t="s">
        <v>238</v>
      </c>
      <c r="AE592" s="2" t="s">
        <v>253</v>
      </c>
      <c r="AF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2" s="2" t="str">
        <f>SUBSTITUTE(SUBSTITUTE(PROPERTIES[[#This Row],[PURCHASECOST_VALUE]], "PURCHASECOST_", ""), "_VALUE", "")</f>
        <v>ELECTRICRAILBUS</v>
      </c>
      <c r="AI592" s="7" t="str" cm="1">
        <f t="array" ref="AI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2" s="43" t="b">
        <v>0</v>
      </c>
      <c r="AK592" s="8" t="b">
        <v>0</v>
      </c>
      <c r="BB592"/>
      <c r="BC592"/>
      <c r="BD592"/>
    </row>
    <row r="593" spans="1:56">
      <c r="A593" s="2" t="s">
        <v>3290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5" t="str">
        <f>_xlfn.XLOOKUP(PROPERTIES[[#This Row],[VEHIDCODE]],CONTROL[VEHIDCODE],CONTROL[ENGLISH])</f>
        <v>TPC BVB Be 2/2</v>
      </c>
      <c r="F593" t="s">
        <v>609</v>
      </c>
      <c r="G593" s="45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8">
        <v>12.8</v>
      </c>
      <c r="R593">
        <v>84</v>
      </c>
      <c r="S593">
        <v>25</v>
      </c>
      <c r="T593" s="25">
        <v>45</v>
      </c>
      <c r="U593" s="24">
        <f>IFERROR(PROPERTIES[[#This Row],[TE_STARTING_KN]]/(PROPERTIES[[#This Row],[WEIGHT]]*9.81),0)</f>
        <v>0.35837155963302747</v>
      </c>
      <c r="V593" s="24">
        <v>0</v>
      </c>
      <c r="W593" s="21">
        <f>ROUND(IF(IFERROR(PROPERTIES[[#This Row],[TE_COEFFICIENT_CALC]],0)=0,PROPERTIES[[#This Row],[TE_COEFFICIENT_MANUAL]],PROPERTIES[[#This Row],[TE_COEFFICIENT_CALC]]),3)</f>
        <v>0.35799999999999998</v>
      </c>
      <c r="X593" s="9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1">
        <v>0</v>
      </c>
      <c r="Z593" s="7">
        <v>0</v>
      </c>
      <c r="AA593" t="s">
        <v>239</v>
      </c>
      <c r="AB593" t="s">
        <v>238</v>
      </c>
      <c r="AC593" t="s">
        <v>238</v>
      </c>
      <c r="AD593" s="2" t="s">
        <v>238</v>
      </c>
      <c r="AE593" s="2" t="s">
        <v>253</v>
      </c>
      <c r="AF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3" s="2" t="str">
        <f>SUBSTITUTE(SUBSTITUTE(PROPERTIES[[#This Row],[PURCHASECOST_VALUE]], "PURCHASECOST_", ""), "_VALUE", "")</f>
        <v>ELECTRICRAILBUS</v>
      </c>
      <c r="AI593" s="7" t="str" cm="1">
        <f t="array" ref="AI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3" s="43" t="b">
        <v>0</v>
      </c>
      <c r="AK593" s="8" t="b">
        <v>0</v>
      </c>
      <c r="BB593"/>
      <c r="BC593"/>
      <c r="BD593"/>
    </row>
    <row r="594" spans="1:56">
      <c r="A594" s="2" t="s">
        <v>3291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5" t="str">
        <f>_xlfn.XLOOKUP(PROPERTIES[[#This Row],[VEHIDCODE]],CONTROL[VEHIDCODE],CONTROL[ENGLISH])</f>
        <v>MVR Beh 2/4</v>
      </c>
      <c r="F594" t="s">
        <v>609</v>
      </c>
      <c r="G594" s="45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8">
        <v>32</v>
      </c>
      <c r="R594">
        <v>574</v>
      </c>
      <c r="S594">
        <v>50</v>
      </c>
      <c r="T594" s="25">
        <v>110</v>
      </c>
      <c r="U594" s="24">
        <f>IFERROR(PROPERTIES[[#This Row],[TE_STARTING_KN]]/(PROPERTIES[[#This Row],[WEIGHT]]*9.81),0)</f>
        <v>0.35040774719673801</v>
      </c>
      <c r="V594" s="24">
        <v>0</v>
      </c>
      <c r="W594" s="21">
        <f>ROUND(IF(IFERROR(PROPERTIES[[#This Row],[TE_COEFFICIENT_CALC]],0)=0,PROPERTIES[[#This Row],[TE_COEFFICIENT_MANUAL]],PROPERTIES[[#This Row],[TE_COEFFICIENT_CALC]]),3)</f>
        <v>0.35</v>
      </c>
      <c r="X594" s="9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1">
        <v>0</v>
      </c>
      <c r="Z594" s="7">
        <v>0</v>
      </c>
      <c r="AA594" t="s">
        <v>239</v>
      </c>
      <c r="AB594" t="s">
        <v>238</v>
      </c>
      <c r="AC594" t="s">
        <v>238</v>
      </c>
      <c r="AD594" s="2" t="s">
        <v>238</v>
      </c>
      <c r="AE594" s="2" t="s">
        <v>253</v>
      </c>
      <c r="AF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4" s="2" t="str">
        <f>SUBSTITUTE(SUBSTITUTE(PROPERTIES[[#This Row],[PURCHASECOST_VALUE]], "PURCHASECOST_", ""), "_VALUE", "")</f>
        <v>ELECTRICRAILBUS</v>
      </c>
      <c r="AI594" s="7" t="str" cm="1">
        <f t="array" ref="AI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4" s="43" t="b">
        <v>0</v>
      </c>
      <c r="AK594" s="8" t="b">
        <v>0</v>
      </c>
      <c r="BB594"/>
      <c r="BC594"/>
      <c r="BD594"/>
    </row>
    <row r="595" spans="1:56">
      <c r="A595" s="2" t="s">
        <v>3292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5" t="str">
        <f>_xlfn.XLOOKUP(PROPERTIES[[#This Row],[VEHIDCODE]],CONTROL[VEHIDCODE],CONTROL[ENGLISH])</f>
        <v>Ferrocarril de Soller 1-3</v>
      </c>
      <c r="F595" t="s">
        <v>634</v>
      </c>
      <c r="G595" s="45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8">
        <v>33</v>
      </c>
      <c r="R595">
        <v>350</v>
      </c>
      <c r="S595">
        <v>45</v>
      </c>
      <c r="T595" s="25">
        <v>52</v>
      </c>
      <c r="U595" s="24">
        <f>IFERROR(PROPERTIES[[#This Row],[TE_STARTING_KN]]/(PROPERTIES[[#This Row],[WEIGHT]]*9.81),0)</f>
        <v>0.16062768356346338</v>
      </c>
      <c r="V595" s="24">
        <v>0</v>
      </c>
      <c r="W595" s="21">
        <f>ROUND(IF(IFERROR(PROPERTIES[[#This Row],[TE_COEFFICIENT_CALC]],0)=0,PROPERTIES[[#This Row],[TE_COEFFICIENT_MANUAL]],PROPERTIES[[#This Row],[TE_COEFFICIENT_CALC]]),3)</f>
        <v>0.161</v>
      </c>
      <c r="X595" s="9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1">
        <v>0</v>
      </c>
      <c r="Z595" s="7">
        <v>0</v>
      </c>
      <c r="AA595" t="s">
        <v>240</v>
      </c>
      <c r="AB595" t="s">
        <v>238</v>
      </c>
      <c r="AC595" t="s">
        <v>238</v>
      </c>
      <c r="AD595" s="2" t="s">
        <v>238</v>
      </c>
      <c r="AE595" s="2" t="s">
        <v>253</v>
      </c>
      <c r="AF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5" s="2" t="str">
        <f>SUBSTITUTE(SUBSTITUTE(PROPERTIES[[#This Row],[PURCHASECOST_VALUE]], "PURCHASECOST_", ""), "_VALUE", "")</f>
        <v>ELECTRICRAILBUS</v>
      </c>
      <c r="AI595" s="7" t="str" cm="1">
        <f t="array" ref="AI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5" s="43" t="b">
        <v>0</v>
      </c>
      <c r="AK595" s="8" t="b">
        <v>0</v>
      </c>
      <c r="BB595"/>
      <c r="BC595"/>
      <c r="BD595"/>
    </row>
    <row r="596" spans="1:56">
      <c r="A596" s="2" t="s">
        <v>3293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5" t="str">
        <f>_xlfn.XLOOKUP(PROPERTIES[[#This Row],[VEHIDCODE]],CONTROL[VEHIDCODE],CONTROL[ENGLISH])</f>
        <v>Hitachi Choshi DeHa 1000</v>
      </c>
      <c r="F596" t="s">
        <v>679</v>
      </c>
      <c r="G596" s="45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8">
        <v>31</v>
      </c>
      <c r="R596">
        <v>402</v>
      </c>
      <c r="S596">
        <v>40</v>
      </c>
      <c r="T596" s="25">
        <v>54</v>
      </c>
      <c r="U596" s="24">
        <f>IFERROR(PROPERTIES[[#This Row],[TE_STARTING_KN]]/(PROPERTIES[[#This Row],[WEIGHT]]*9.81),0)</f>
        <v>0.17756732761171942</v>
      </c>
      <c r="V596" s="24">
        <v>0</v>
      </c>
      <c r="W596" s="21">
        <f>ROUND(IF(IFERROR(PROPERTIES[[#This Row],[TE_COEFFICIENT_CALC]],0)=0,PROPERTIES[[#This Row],[TE_COEFFICIENT_MANUAL]],PROPERTIES[[#This Row],[TE_COEFFICIENT_CALC]]),3)</f>
        <v>0.17799999999999999</v>
      </c>
      <c r="X596" s="9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1">
        <v>0</v>
      </c>
      <c r="Z596" s="7">
        <v>0</v>
      </c>
      <c r="AA596" t="s">
        <v>247</v>
      </c>
      <c r="AB596" t="s">
        <v>238</v>
      </c>
      <c r="AC596" t="s">
        <v>238</v>
      </c>
      <c r="AD596" s="2" t="s">
        <v>238</v>
      </c>
      <c r="AE596" s="2" t="s">
        <v>253</v>
      </c>
      <c r="AF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6" s="2" t="str">
        <f>SUBSTITUTE(SUBSTITUTE(PROPERTIES[[#This Row],[PURCHASECOST_VALUE]], "PURCHASECOST_", ""), "_VALUE", "")</f>
        <v>ELECTRICRAILBUS</v>
      </c>
      <c r="AI596" s="7" t="str" cm="1">
        <f t="array" ref="AI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6" s="43" t="b">
        <v>0</v>
      </c>
      <c r="AK596" s="8" t="b">
        <v>0</v>
      </c>
      <c r="BB596"/>
      <c r="BC596"/>
      <c r="BD596"/>
    </row>
    <row r="597" spans="1:56">
      <c r="A597" s="2" t="s">
        <v>3294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5" t="str">
        <f>_xlfn.XLOOKUP(PROPERTIES[[#This Row],[VEHIDCODE]],CONTROL[VEHIDCODE],CONTROL[ENGLISH])</f>
        <v>SLM G 3/4</v>
      </c>
      <c r="F597" t="s">
        <v>609</v>
      </c>
      <c r="G597" s="45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8">
        <v>30</v>
      </c>
      <c r="R597">
        <v>247</v>
      </c>
      <c r="S597">
        <v>45</v>
      </c>
      <c r="T597" s="25">
        <v>38</v>
      </c>
      <c r="U597" s="24">
        <f>IFERROR(PROPERTIES[[#This Row],[TE_STARTING_KN]]/(PROPERTIES[[#This Row],[WEIGHT]]*9.81),0)</f>
        <v>0.1291199456337071</v>
      </c>
      <c r="V597" s="24">
        <v>0</v>
      </c>
      <c r="W597" s="21">
        <f>ROUND(IF(IFERROR(PROPERTIES[[#This Row],[TE_COEFFICIENT_CALC]],0)=0,PROPERTIES[[#This Row],[TE_COEFFICIENT_MANUAL]],PROPERTIES[[#This Row],[TE_COEFFICIENT_CALC]]),3)</f>
        <v>0.129</v>
      </c>
      <c r="X597" s="9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1">
        <v>0</v>
      </c>
      <c r="Z597" s="7">
        <v>0</v>
      </c>
      <c r="AA597" t="s">
        <v>239</v>
      </c>
      <c r="AB597" t="s">
        <v>238</v>
      </c>
      <c r="AC597" t="s">
        <v>238</v>
      </c>
      <c r="AD597" s="2" t="s">
        <v>238</v>
      </c>
      <c r="AE597" s="2" t="s">
        <v>253</v>
      </c>
      <c r="AF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7" s="2" t="str">
        <f>SUBSTITUTE(SUBSTITUTE(PROPERTIES[[#This Row],[PURCHASECOST_VALUE]], "PURCHASECOST_", ""), "_VALUE", "")</f>
        <v>STEAMENGINE</v>
      </c>
      <c r="AI597" s="7" t="str" cm="1">
        <f t="array" ref="AI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7" s="43" t="b">
        <v>0</v>
      </c>
      <c r="AK597" s="8" t="b">
        <v>0</v>
      </c>
      <c r="BB597"/>
      <c r="BC597"/>
      <c r="BD597"/>
    </row>
    <row r="598" spans="1:56">
      <c r="A598" s="2" t="s">
        <v>3295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5" t="str">
        <f>_xlfn.XLOOKUP(PROPERTIES[[#This Row],[VEHIDCODE]],CONTROL[VEHIDCODE],CONTROL[ENGLISH])</f>
        <v>Kisha Seizo 2-10-4T E10</v>
      </c>
      <c r="F598" t="s">
        <v>679</v>
      </c>
      <c r="G598" s="45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8">
        <v>102</v>
      </c>
      <c r="R598">
        <v>1340</v>
      </c>
      <c r="S598">
        <v>65</v>
      </c>
      <c r="T598" s="25">
        <v>213</v>
      </c>
      <c r="U598" s="24">
        <f>IFERROR(PROPERTIES[[#This Row],[TE_STARTING_KN]]/(PROPERTIES[[#This Row],[WEIGHT]]*9.81),0)</f>
        <v>0.21286802182646758</v>
      </c>
      <c r="V598" s="24">
        <v>0</v>
      </c>
      <c r="W598" s="21">
        <f>ROUND(IF(IFERROR(PROPERTIES[[#This Row],[TE_COEFFICIENT_CALC]],0)=0,PROPERTIES[[#This Row],[TE_COEFFICIENT_MANUAL]],PROPERTIES[[#This Row],[TE_COEFFICIENT_CALC]]),3)</f>
        <v>0.21299999999999999</v>
      </c>
      <c r="X598" s="9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1">
        <v>0</v>
      </c>
      <c r="Z598" s="7">
        <v>0</v>
      </c>
      <c r="AA598" t="s">
        <v>247</v>
      </c>
      <c r="AB598" t="s">
        <v>238</v>
      </c>
      <c r="AC598" t="s">
        <v>238</v>
      </c>
      <c r="AD598" s="2" t="s">
        <v>238</v>
      </c>
      <c r="AE598" s="2" t="s">
        <v>253</v>
      </c>
      <c r="AF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8" s="2" t="str">
        <f>SUBSTITUTE(SUBSTITUTE(PROPERTIES[[#This Row],[PURCHASECOST_VALUE]], "PURCHASECOST_", ""), "_VALUE", "")</f>
        <v>STEAMENGINE</v>
      </c>
      <c r="AI598" s="7" t="str" cm="1">
        <f t="array" ref="AI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598" s="43" t="b">
        <v>0</v>
      </c>
      <c r="AK598" s="8" t="b">
        <v>0</v>
      </c>
      <c r="BB598"/>
      <c r="BC598"/>
      <c r="BD598"/>
    </row>
    <row r="599" spans="1:56">
      <c r="A599" s="2" t="s">
        <v>3296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5" t="str">
        <f>_xlfn.XLOOKUP(PROPERTIES[[#This Row],[VEHIDCODE]],CONTROL[VEHIDCODE],CONTROL[ENGLISH])</f>
        <v>H. K. Porter, Inc 2-6-0 7100</v>
      </c>
      <c r="F599" t="s">
        <v>679</v>
      </c>
      <c r="G599" s="45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8">
        <v>31</v>
      </c>
      <c r="R599">
        <v>200</v>
      </c>
      <c r="S599">
        <v>36</v>
      </c>
      <c r="T599" s="25">
        <v>22</v>
      </c>
      <c r="U599" s="24">
        <f>IFERROR(PROPERTIES[[#This Row],[TE_STARTING_KN]]/(PROPERTIES[[#This Row],[WEIGHT]]*9.81),0)</f>
        <v>7.2342244582552367E-2</v>
      </c>
      <c r="V599" s="24">
        <v>0</v>
      </c>
      <c r="W599" s="21">
        <f>ROUND(IF(IFERROR(PROPERTIES[[#This Row],[TE_COEFFICIENT_CALC]],0)=0,PROPERTIES[[#This Row],[TE_COEFFICIENT_MANUAL]],PROPERTIES[[#This Row],[TE_COEFFICIENT_CALC]]),3)</f>
        <v>7.1999999999999995E-2</v>
      </c>
      <c r="X599" s="9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1">
        <v>0</v>
      </c>
      <c r="Z599" s="7">
        <v>4</v>
      </c>
      <c r="AA599" t="s">
        <v>247</v>
      </c>
      <c r="AB599" t="s">
        <v>238</v>
      </c>
      <c r="AC599" t="s">
        <v>238</v>
      </c>
      <c r="AD599" s="2" t="s">
        <v>238</v>
      </c>
      <c r="AE599" s="2" t="s">
        <v>253</v>
      </c>
      <c r="AF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9" s="2" t="str">
        <f>SUBSTITUTE(SUBSTITUTE(PROPERTIES[[#This Row],[PURCHASECOST_VALUE]], "PURCHASECOST_", ""), "_VALUE", "")</f>
        <v>STEAMENGINE</v>
      </c>
      <c r="AI599" s="7" t="str" cm="1">
        <f t="array" ref="AI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9" s="43" t="b">
        <v>0</v>
      </c>
      <c r="AK599" s="8" t="b">
        <v>0</v>
      </c>
      <c r="BB599"/>
      <c r="BC599"/>
      <c r="BD599"/>
    </row>
    <row r="600" spans="1:56">
      <c r="A600" s="2" t="s">
        <v>3297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5" t="str">
        <f>_xlfn.XLOOKUP(PROPERTIES[[#This Row],[VEHIDCODE]],CONTROL[VEHIDCODE],CONTROL[ENGLISH])</f>
        <v>Richard Francis Trevithick 2-4-2T 860</v>
      </c>
      <c r="F600" t="s">
        <v>679</v>
      </c>
      <c r="G600" s="45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8">
        <v>32</v>
      </c>
      <c r="R600">
        <v>186</v>
      </c>
      <c r="S600">
        <v>48</v>
      </c>
      <c r="T600" s="25">
        <v>48</v>
      </c>
      <c r="U600" s="24">
        <f>IFERROR(PROPERTIES[[#This Row],[TE_STARTING_KN]]/(PROPERTIES[[#This Row],[WEIGHT]]*9.81),0)</f>
        <v>0.1529051987767584</v>
      </c>
      <c r="V600" s="24">
        <v>0</v>
      </c>
      <c r="W600" s="21">
        <f>ROUND(IF(IFERROR(PROPERTIES[[#This Row],[TE_COEFFICIENT_CALC]],0)=0,PROPERTIES[[#This Row],[TE_COEFFICIENT_MANUAL]],PROPERTIES[[#This Row],[TE_COEFFICIENT_CALC]]),3)</f>
        <v>0.153</v>
      </c>
      <c r="X600" s="9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1">
        <v>0</v>
      </c>
      <c r="Z600" s="7">
        <v>0</v>
      </c>
      <c r="AA600" t="s">
        <v>247</v>
      </c>
      <c r="AB600" t="s">
        <v>238</v>
      </c>
      <c r="AC600" t="s">
        <v>238</v>
      </c>
      <c r="AD600" s="2" t="s">
        <v>238</v>
      </c>
      <c r="AE600" s="2" t="s">
        <v>253</v>
      </c>
      <c r="AF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0" s="2" t="str">
        <f>SUBSTITUTE(SUBSTITUTE(PROPERTIES[[#This Row],[PURCHASECOST_VALUE]], "PURCHASECOST_", ""), "_VALUE", "")</f>
        <v>STEAMENGINE</v>
      </c>
      <c r="AI600" s="7" t="str" cm="1">
        <f t="array" ref="AI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0" s="43" t="b">
        <v>0</v>
      </c>
      <c r="AK600" s="8" t="b">
        <v>0</v>
      </c>
      <c r="BB600"/>
      <c r="BC600"/>
      <c r="BD600"/>
    </row>
    <row r="601" spans="1:56">
      <c r="A601" s="2" t="s">
        <v>3298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5" t="str">
        <f>_xlfn.XLOOKUP(PROPERTIES[[#This Row],[VEHIDCODE]],CONTROL[VEHIDCODE],CONTROL[ENGLISH])</f>
        <v>Kawasaki 2-8-0 9600</v>
      </c>
      <c r="F601" t="s">
        <v>679</v>
      </c>
      <c r="G601" s="45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8">
        <v>95</v>
      </c>
      <c r="R601">
        <v>870</v>
      </c>
      <c r="S601">
        <v>65</v>
      </c>
      <c r="T601" s="25">
        <v>139</v>
      </c>
      <c r="U601" s="24">
        <f>IFERROR(PROPERTIES[[#This Row],[TE_STARTING_KN]]/(PROPERTIES[[#This Row],[WEIGHT]]*9.81),0)</f>
        <v>0.14914963249101346</v>
      </c>
      <c r="V601" s="24">
        <v>0</v>
      </c>
      <c r="W601" s="21">
        <f>ROUND(IF(IFERROR(PROPERTIES[[#This Row],[TE_COEFFICIENT_CALC]],0)=0,PROPERTIES[[#This Row],[TE_COEFFICIENT_MANUAL]],PROPERTIES[[#This Row],[TE_COEFFICIENT_CALC]]),3)</f>
        <v>0.14899999999999999</v>
      </c>
      <c r="X601" s="9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1">
        <v>0</v>
      </c>
      <c r="Z601" s="7">
        <v>4</v>
      </c>
      <c r="AA601" t="s">
        <v>247</v>
      </c>
      <c r="AB601" t="s">
        <v>238</v>
      </c>
      <c r="AC601" t="s">
        <v>238</v>
      </c>
      <c r="AD601" s="2" t="s">
        <v>238</v>
      </c>
      <c r="AE601" s="2" t="s">
        <v>253</v>
      </c>
      <c r="AF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1" s="2" t="str">
        <f>SUBSTITUTE(SUBSTITUTE(PROPERTIES[[#This Row],[PURCHASECOST_VALUE]], "PURCHASECOST_", ""), "_VALUE", "")</f>
        <v>STEAMENGINE</v>
      </c>
      <c r="AI601" s="7" t="str" cm="1">
        <f t="array" ref="AI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1" s="43" t="b">
        <v>0</v>
      </c>
      <c r="AK601" s="8" t="b">
        <v>0</v>
      </c>
      <c r="BB601"/>
      <c r="BC601"/>
      <c r="BD601"/>
    </row>
    <row r="602" spans="1:56">
      <c r="A602" s="2" t="s">
        <v>3299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5" t="str">
        <f>_xlfn.XLOOKUP(PROPERTIES[[#This Row],[VEHIDCODE]],CONTROL[VEHIDCODE],CONTROL[ENGLISH])</f>
        <v>Kawasaki 2-8-2 D50</v>
      </c>
      <c r="F602" t="s">
        <v>679</v>
      </c>
      <c r="G602" s="45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8">
        <v>122</v>
      </c>
      <c r="R602">
        <v>1280</v>
      </c>
      <c r="S602">
        <v>70</v>
      </c>
      <c r="T602" s="25">
        <v>166</v>
      </c>
      <c r="U602" s="24">
        <f>IFERROR(PROPERTIES[[#This Row],[TE_STARTING_KN]]/(PROPERTIES[[#This Row],[WEIGHT]]*9.81),0)</f>
        <v>0.13870089069367153</v>
      </c>
      <c r="V602" s="24">
        <v>0</v>
      </c>
      <c r="W602" s="21">
        <f>ROUND(IF(IFERROR(PROPERTIES[[#This Row],[TE_COEFFICIENT_CALC]],0)=0,PROPERTIES[[#This Row],[TE_COEFFICIENT_MANUAL]],PROPERTIES[[#This Row],[TE_COEFFICIENT_CALC]]),3)</f>
        <v>0.13900000000000001</v>
      </c>
      <c r="X602" s="9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1">
        <v>0</v>
      </c>
      <c r="Z602" s="7">
        <v>4</v>
      </c>
      <c r="AA602" t="s">
        <v>247</v>
      </c>
      <c r="AB602" t="s">
        <v>238</v>
      </c>
      <c r="AC602" t="s">
        <v>238</v>
      </c>
      <c r="AD602" s="2" t="s">
        <v>238</v>
      </c>
      <c r="AE602" s="2" t="s">
        <v>253</v>
      </c>
      <c r="AF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2" s="2" t="str">
        <f>SUBSTITUTE(SUBSTITUTE(PROPERTIES[[#This Row],[PURCHASECOST_VALUE]], "PURCHASECOST_", ""), "_VALUE", "")</f>
        <v>STEAMENGINE</v>
      </c>
      <c r="AI602" s="7" t="str" cm="1">
        <f t="array" ref="AI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2" s="43" t="b">
        <v>0</v>
      </c>
      <c r="AK602" s="8" t="b">
        <v>0</v>
      </c>
      <c r="BB602"/>
      <c r="BC602"/>
      <c r="BD602"/>
    </row>
    <row r="603" spans="1:56">
      <c r="A603" s="2" t="s">
        <v>3300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5" t="str">
        <f>_xlfn.XLOOKUP(PROPERTIES[[#This Row],[VEHIDCODE]],CONTROL[VEHIDCODE],CONTROL[ENGLISH])</f>
        <v>Kisha/Mitsubishi/NS DF50</v>
      </c>
      <c r="F603" t="s">
        <v>679</v>
      </c>
      <c r="G603" s="45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8">
        <v>85</v>
      </c>
      <c r="R603">
        <v>1060</v>
      </c>
      <c r="S603">
        <v>90</v>
      </c>
      <c r="T603" s="25">
        <v>123</v>
      </c>
      <c r="U603" s="24">
        <f>IFERROR(PROPERTIES[[#This Row],[TE_STARTING_KN]]/(PROPERTIES[[#This Row],[WEIGHT]]*9.81),0)</f>
        <v>0.14750854470228458</v>
      </c>
      <c r="V603" s="24">
        <v>0</v>
      </c>
      <c r="W603" s="21">
        <f>ROUND(IF(IFERROR(PROPERTIES[[#This Row],[TE_COEFFICIENT_CALC]],0)=0,PROPERTIES[[#This Row],[TE_COEFFICIENT_MANUAL]],PROPERTIES[[#This Row],[TE_COEFFICIENT_CALC]]),3)</f>
        <v>0.14799999999999999</v>
      </c>
      <c r="X603" s="9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1">
        <v>0</v>
      </c>
      <c r="Z603" s="7">
        <v>0</v>
      </c>
      <c r="AA603" t="s">
        <v>247</v>
      </c>
      <c r="AB603" t="s">
        <v>238</v>
      </c>
      <c r="AC603" t="s">
        <v>238</v>
      </c>
      <c r="AD603" s="2" t="s">
        <v>238</v>
      </c>
      <c r="AE603" s="2" t="s">
        <v>253</v>
      </c>
      <c r="AF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603" s="2" t="str">
        <f>SUBSTITUTE(SUBSTITUTE(PROPERTIES[[#This Row],[PURCHASECOST_VALUE]], "PURCHASECOST_", ""), "_VALUE", "")</f>
        <v>DIESELENGINE</v>
      </c>
      <c r="AI603" s="7" t="str" cm="1">
        <f t="array" ref="AI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3" s="43" t="b">
        <v>0</v>
      </c>
      <c r="AK603" s="8" t="b">
        <v>0</v>
      </c>
      <c r="BB603"/>
      <c r="BC603"/>
      <c r="BD603"/>
    </row>
    <row r="604" spans="1:56">
      <c r="A604" s="2" t="s">
        <v>3301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5" t="str">
        <f>_xlfn.XLOOKUP(PROPERTIES[[#This Row],[VEHIDCODE]],CONTROL[VEHIDCODE],CONTROL[ENGLISH])</f>
        <v>SIG Alioth De 2/2</v>
      </c>
      <c r="F604" t="s">
        <v>609</v>
      </c>
      <c r="G604" s="45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8">
        <v>16</v>
      </c>
      <c r="R604">
        <v>200</v>
      </c>
      <c r="S604">
        <v>45</v>
      </c>
      <c r="T604" s="25">
        <v>24.5</v>
      </c>
      <c r="U604" s="24">
        <f>IFERROR(PROPERTIES[[#This Row],[TE_STARTING_KN]]/(PROPERTIES[[#This Row],[WEIGHT]]*9.81),0)</f>
        <v>0.1560907237512742</v>
      </c>
      <c r="V604" s="24">
        <v>0</v>
      </c>
      <c r="W604" s="21">
        <f>ROUND(IF(IFERROR(PROPERTIES[[#This Row],[TE_COEFFICIENT_CALC]],0)=0,PROPERTIES[[#This Row],[TE_COEFFICIENT_MANUAL]],PROPERTIES[[#This Row],[TE_COEFFICIENT_CALC]]),3)</f>
        <v>0.156</v>
      </c>
      <c r="X604" s="9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1">
        <v>0</v>
      </c>
      <c r="Z604" s="7">
        <v>0</v>
      </c>
      <c r="AA604" t="s">
        <v>239</v>
      </c>
      <c r="AB604" t="s">
        <v>238</v>
      </c>
      <c r="AC604" t="s">
        <v>238</v>
      </c>
      <c r="AD604" s="2" t="s">
        <v>238</v>
      </c>
      <c r="AE604" s="2" t="s">
        <v>253</v>
      </c>
      <c r="AF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4" s="2" t="str">
        <f>SUBSTITUTE(SUBSTITUTE(PROPERTIES[[#This Row],[PURCHASECOST_VALUE]], "PURCHASECOST_", ""), "_VALUE", "")</f>
        <v>ELECTRICENGINE</v>
      </c>
      <c r="AI604" s="7" t="str" cm="1">
        <f t="array" ref="AI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4" s="43" t="b">
        <v>0</v>
      </c>
      <c r="AK604" s="8" t="b">
        <v>0</v>
      </c>
      <c r="BB604"/>
      <c r="BC604"/>
      <c r="BD604"/>
    </row>
    <row r="605" spans="1:56">
      <c r="A605" s="2" t="s">
        <v>3302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5" t="str">
        <f>_xlfn.XLOOKUP(PROPERTIES[[#This Row],[VEHIDCODE]],CONTROL[VEHIDCODE],CONTROL[ENGLISH])</f>
        <v>Toshiba EH10</v>
      </c>
      <c r="F605" t="s">
        <v>679</v>
      </c>
      <c r="G605" s="45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8">
        <v>116</v>
      </c>
      <c r="R605">
        <v>3390</v>
      </c>
      <c r="S605">
        <v>110</v>
      </c>
      <c r="T605" s="25">
        <v>238</v>
      </c>
      <c r="U605" s="24">
        <f>IFERROR(PROPERTIES[[#This Row],[TE_STARTING_KN]]/(PROPERTIES[[#This Row],[WEIGHT]]*9.81),0)</f>
        <v>0.20914619143027874</v>
      </c>
      <c r="V605" s="24">
        <v>0</v>
      </c>
      <c r="W605" s="21">
        <f>ROUND(IF(IFERROR(PROPERTIES[[#This Row],[TE_COEFFICIENT_CALC]],0)=0,PROPERTIES[[#This Row],[TE_COEFFICIENT_MANUAL]],PROPERTIES[[#This Row],[TE_COEFFICIENT_CALC]]),3)</f>
        <v>0.20899999999999999</v>
      </c>
      <c r="X605" s="9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1">
        <v>0</v>
      </c>
      <c r="Z605" s="7">
        <v>6</v>
      </c>
      <c r="AA605" t="s">
        <v>247</v>
      </c>
      <c r="AB605" t="s">
        <v>238</v>
      </c>
      <c r="AC605" t="s">
        <v>238</v>
      </c>
      <c r="AD605" s="2" t="s">
        <v>238</v>
      </c>
      <c r="AE605" s="2" t="s">
        <v>253</v>
      </c>
      <c r="AF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5" s="2" t="str">
        <f>SUBSTITUTE(SUBSTITUTE(PROPERTIES[[#This Row],[PURCHASECOST_VALUE]], "PURCHASECOST_", ""), "_VALUE", "")</f>
        <v>ELECTRICENGINE</v>
      </c>
      <c r="AI605" s="7" t="str" cm="1">
        <f t="array" ref="AI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5" s="43" t="b">
        <v>0</v>
      </c>
      <c r="AK605" s="8" t="b">
        <v>0</v>
      </c>
      <c r="BB605"/>
      <c r="BC605"/>
      <c r="BD605"/>
    </row>
    <row r="606" spans="1:56">
      <c r="A606" s="2" t="s">
        <v>3303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5" t="str">
        <f>_xlfn.XLOOKUP(PROPERTIES[[#This Row],[VEHIDCODE]],CONTROL[VEHIDCODE],CONTROL[ENGLISH])</f>
        <v>Kawasaki/Toshiba EF64</v>
      </c>
      <c r="F606" t="s">
        <v>679</v>
      </c>
      <c r="G606" s="45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8">
        <v>96</v>
      </c>
      <c r="R606">
        <v>3420</v>
      </c>
      <c r="S606">
        <v>100</v>
      </c>
      <c r="T606" s="25">
        <v>196</v>
      </c>
      <c r="U606" s="24">
        <f>IFERROR(PROPERTIES[[#This Row],[TE_STARTING_KN]]/(PROPERTIES[[#This Row],[WEIGHT]]*9.81),0)</f>
        <v>0.20812096500169894</v>
      </c>
      <c r="V606" s="24">
        <v>0</v>
      </c>
      <c r="W606" s="21">
        <f>ROUND(IF(IFERROR(PROPERTIES[[#This Row],[TE_COEFFICIENT_CALC]],0)=0,PROPERTIES[[#This Row],[TE_COEFFICIENT_MANUAL]],PROPERTIES[[#This Row],[TE_COEFFICIENT_CALC]]),3)</f>
        <v>0.20799999999999999</v>
      </c>
      <c r="X606" s="9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1">
        <v>0</v>
      </c>
      <c r="Z606" s="7">
        <v>0</v>
      </c>
      <c r="AA606" t="s">
        <v>247</v>
      </c>
      <c r="AB606" t="s">
        <v>238</v>
      </c>
      <c r="AC606" t="s">
        <v>238</v>
      </c>
      <c r="AD606" s="2" t="s">
        <v>238</v>
      </c>
      <c r="AE606" s="2" t="s">
        <v>253</v>
      </c>
      <c r="AF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6" s="2" t="str">
        <f>SUBSTITUTE(SUBSTITUTE(PROPERTIES[[#This Row],[PURCHASECOST_VALUE]], "PURCHASECOST_", ""), "_VALUE", "")</f>
        <v>ELECTRICENGINE</v>
      </c>
      <c r="AI606" s="7" t="str" cm="1">
        <f t="array" ref="AI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6" s="43" t="b">
        <v>0</v>
      </c>
      <c r="AK606" s="8" t="b">
        <v>0</v>
      </c>
      <c r="BB606"/>
      <c r="BC606"/>
      <c r="BD606"/>
    </row>
    <row r="607" spans="1:56">
      <c r="A607" s="2" t="s">
        <v>3304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5" t="str">
        <f>_xlfn.XLOOKUP(PROPERTIES[[#This Row],[VEHIDCODE]],CONTROL[VEHIDCODE],CONTROL[ENGLISH])</f>
        <v>EEC EO Class</v>
      </c>
      <c r="F607" t="s">
        <v>736</v>
      </c>
      <c r="G607" s="45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8">
        <v>50</v>
      </c>
      <c r="R607">
        <v>680</v>
      </c>
      <c r="S607">
        <v>64</v>
      </c>
      <c r="T607" s="25">
        <v>63</v>
      </c>
      <c r="U607" s="24">
        <f>IFERROR(PROPERTIES[[#This Row],[TE_STARTING_KN]]/(PROPERTIES[[#This Row],[WEIGHT]]*9.81),0)</f>
        <v>0.12844036697247707</v>
      </c>
      <c r="V607" s="24">
        <v>0</v>
      </c>
      <c r="W607" s="21">
        <f>ROUND(IF(IFERROR(PROPERTIES[[#This Row],[TE_COEFFICIENT_CALC]],0)=0,PROPERTIES[[#This Row],[TE_COEFFICIENT_MANUAL]],PROPERTIES[[#This Row],[TE_COEFFICIENT_CALC]]),3)</f>
        <v>0.128</v>
      </c>
      <c r="X607" s="9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1">
        <v>0</v>
      </c>
      <c r="Z607" s="7">
        <v>0</v>
      </c>
      <c r="AA607" t="s">
        <v>241</v>
      </c>
      <c r="AB607" t="s">
        <v>238</v>
      </c>
      <c r="AC607" t="s">
        <v>238</v>
      </c>
      <c r="AD607" s="2" t="s">
        <v>238</v>
      </c>
      <c r="AE607" s="2" t="s">
        <v>253</v>
      </c>
      <c r="AF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7" s="2" t="str">
        <f>SUBSTITUTE(SUBSTITUTE(PROPERTIES[[#This Row],[PURCHASECOST_VALUE]], "PURCHASECOST_", ""), "_VALUE", "")</f>
        <v>ELECTRICENGINE</v>
      </c>
      <c r="AI607" s="7" t="str" cm="1">
        <f t="array" ref="AI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7" s="43" t="b">
        <v>0</v>
      </c>
      <c r="AK607" s="8" t="b">
        <v>0</v>
      </c>
      <c r="BB607"/>
      <c r="BC607"/>
      <c r="BD607"/>
    </row>
    <row r="608" spans="1:56">
      <c r="A608" s="2" t="s">
        <v>3305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5" t="str">
        <f>_xlfn.XLOOKUP(PROPERTIES[[#This Row],[VEHIDCODE]],CONTROL[VEHIDCODE],CONTROL[ENGLISH])</f>
        <v>Tulloch 0-6-0DM 'W' Class DNU WRONG</v>
      </c>
      <c r="F608" t="s">
        <v>580</v>
      </c>
      <c r="G608" s="45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8">
        <v>110</v>
      </c>
      <c r="R608">
        <v>2700</v>
      </c>
      <c r="S608">
        <v>113</v>
      </c>
      <c r="T608" s="25">
        <v>267</v>
      </c>
      <c r="U608" s="24">
        <f>IFERROR(PROPERTIES[[#This Row],[TE_STARTING_KN]]/(PROPERTIES[[#This Row],[WEIGHT]]*9.81),0)</f>
        <v>0.24742841256602721</v>
      </c>
      <c r="V608" s="24">
        <v>0</v>
      </c>
      <c r="W608" s="21">
        <f>ROUND(IF(IFERROR(PROPERTIES[[#This Row],[TE_COEFFICIENT_CALC]],0)=0,PROPERTIES[[#This Row],[TE_COEFFICIENT_MANUAL]],PROPERTIES[[#This Row],[TE_COEFFICIENT_CALC]]),3)</f>
        <v>0.247</v>
      </c>
      <c r="X608" s="9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1">
        <v>0</v>
      </c>
      <c r="Z608" s="7">
        <v>0</v>
      </c>
      <c r="AA608" t="s">
        <v>241</v>
      </c>
      <c r="AB608" t="s">
        <v>238</v>
      </c>
      <c r="AC608" t="s">
        <v>238</v>
      </c>
      <c r="AD608" s="2" t="s">
        <v>238</v>
      </c>
      <c r="AE608" s="2" t="s">
        <v>253</v>
      </c>
      <c r="AF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8" s="2" t="str">
        <f>SUBSTITUTE(SUBSTITUTE(PROPERTIES[[#This Row],[PURCHASECOST_VALUE]], "PURCHASECOST_", ""), "_VALUE", "")</f>
        <v>ELECTRICENGINE</v>
      </c>
      <c r="AI608" s="7" t="str" cm="1">
        <f t="array" ref="AI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8" s="43" t="b">
        <v>0</v>
      </c>
      <c r="AK608" s="8" t="b">
        <v>1</v>
      </c>
      <c r="BB608"/>
      <c r="BC608"/>
      <c r="BD608"/>
    </row>
    <row r="609" spans="1:56">
      <c r="A609" s="2" t="s">
        <v>3306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5" t="str">
        <f>_xlfn.XLOOKUP(PROPERTIES[[#This Row],[VEHIDCODE]],CONTROL[VEHIDCODE],CONTROL[ENGLISH])</f>
        <v xml:space="preserve">GEC/NBLC SAR 4E </v>
      </c>
      <c r="F609" t="s">
        <v>810</v>
      </c>
      <c r="G609" s="45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8">
        <v>155</v>
      </c>
      <c r="R609">
        <v>2520</v>
      </c>
      <c r="S609">
        <v>97</v>
      </c>
      <c r="T609" s="25">
        <v>322</v>
      </c>
      <c r="U609" s="24">
        <f>IFERROR(PROPERTIES[[#This Row],[TE_STARTING_KN]]/(PROPERTIES[[#This Row],[WEIGHT]]*9.81),0)</f>
        <v>0.21176547959619871</v>
      </c>
      <c r="V609" s="24">
        <v>0</v>
      </c>
      <c r="W609" s="21">
        <f>ROUND(IF(IFERROR(PROPERTIES[[#This Row],[TE_COEFFICIENT_CALC]],0)=0,PROPERTIES[[#This Row],[TE_COEFFICIENT_MANUAL]],PROPERTIES[[#This Row],[TE_COEFFICIENT_CALC]]),3)</f>
        <v>0.21199999999999999</v>
      </c>
      <c r="X609" s="9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1">
        <v>0</v>
      </c>
      <c r="Z609" s="7">
        <v>0</v>
      </c>
      <c r="AA609" t="s">
        <v>242</v>
      </c>
      <c r="AB609" t="s">
        <v>238</v>
      </c>
      <c r="AC609" t="s">
        <v>238</v>
      </c>
      <c r="AD609" s="2" t="s">
        <v>238</v>
      </c>
      <c r="AE609" s="2" t="s">
        <v>253</v>
      </c>
      <c r="AF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9" s="2" t="str">
        <f>SUBSTITUTE(SUBSTITUTE(PROPERTIES[[#This Row],[PURCHASECOST_VALUE]], "PURCHASECOST_", ""), "_VALUE", "")</f>
        <v>ELECTRICENGINE</v>
      </c>
      <c r="AI609" s="7" t="str" cm="1">
        <f t="array" ref="AI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09" s="43" t="b">
        <v>0</v>
      </c>
      <c r="AK609" s="8" t="b">
        <v>0</v>
      </c>
      <c r="BB609"/>
      <c r="BC609"/>
      <c r="BD609"/>
    </row>
    <row r="610" spans="1:56">
      <c r="A610" s="2" t="s">
        <v>3307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5" t="str">
        <f>_xlfn.XLOOKUP(PROPERTIES[[#This Row],[VEHIDCODE]],CONTROL[VEHIDCODE],CONTROL[ENGLISH])</f>
        <v>Metrowick MV 5E1</v>
      </c>
      <c r="F610" t="s">
        <v>810</v>
      </c>
      <c r="G610" s="45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8">
        <v>86</v>
      </c>
      <c r="R610">
        <v>1953</v>
      </c>
      <c r="S610">
        <v>97</v>
      </c>
      <c r="T610" s="25">
        <v>250</v>
      </c>
      <c r="U610" s="24">
        <f>IFERROR(PROPERTIES[[#This Row],[TE_STARTING_KN]]/(PROPERTIES[[#This Row],[WEIGHT]]*9.81),0)</f>
        <v>0.29632790460612091</v>
      </c>
      <c r="V610" s="24">
        <v>0</v>
      </c>
      <c r="W610" s="21">
        <f>ROUND(IF(IFERROR(PROPERTIES[[#This Row],[TE_COEFFICIENT_CALC]],0)=0,PROPERTIES[[#This Row],[TE_COEFFICIENT_MANUAL]],PROPERTIES[[#This Row],[TE_COEFFICIENT_CALC]]),3)</f>
        <v>0.29599999999999999</v>
      </c>
      <c r="X610" s="9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1">
        <v>0</v>
      </c>
      <c r="Z610" s="7">
        <v>0</v>
      </c>
      <c r="AA610" t="s">
        <v>242</v>
      </c>
      <c r="AB610" t="s">
        <v>238</v>
      </c>
      <c r="AC610" t="s">
        <v>238</v>
      </c>
      <c r="AD610" s="2" t="s">
        <v>238</v>
      </c>
      <c r="AE610" s="2" t="s">
        <v>253</v>
      </c>
      <c r="AF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0" s="2" t="str">
        <f>SUBSTITUTE(SUBSTITUTE(PROPERTIES[[#This Row],[PURCHASECOST_VALUE]], "PURCHASECOST_", ""), "_VALUE", "")</f>
        <v>ELECTRICENGINE</v>
      </c>
      <c r="AI610" s="7" t="str" cm="1">
        <f t="array" ref="AI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10" s="43" t="b">
        <v>0</v>
      </c>
      <c r="AK610" s="8" t="b">
        <v>0</v>
      </c>
      <c r="BB610"/>
      <c r="BC610"/>
      <c r="BD610"/>
    </row>
    <row r="611" spans="1:56">
      <c r="A611" s="2" t="s">
        <v>3308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5" t="str">
        <f>_xlfn.XLOOKUP(PROPERTIES[[#This Row],[VEHIDCODE]],CONTROL[VEHIDCODE],CONTROL[ENGLISH])</f>
        <v>UCW 6E</v>
      </c>
      <c r="F611" t="s">
        <v>810</v>
      </c>
      <c r="G611" s="45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8">
        <v>89</v>
      </c>
      <c r="R611">
        <v>3020</v>
      </c>
      <c r="S611">
        <v>113</v>
      </c>
      <c r="T611" s="25">
        <v>311</v>
      </c>
      <c r="U611" s="24">
        <f>IFERROR(PROPERTIES[[#This Row],[TE_STARTING_KN]]/(PROPERTIES[[#This Row],[WEIGHT]]*9.81),0)</f>
        <v>0.35620611849866562</v>
      </c>
      <c r="V611" s="24">
        <v>0</v>
      </c>
      <c r="W611" s="21">
        <f>ROUND(IF(IFERROR(PROPERTIES[[#This Row],[TE_COEFFICIENT_CALC]],0)=0,PROPERTIES[[#This Row],[TE_COEFFICIENT_MANUAL]],PROPERTIES[[#This Row],[TE_COEFFICIENT_CALC]]),3)</f>
        <v>0.35599999999999998</v>
      </c>
      <c r="X611" s="9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1">
        <v>0</v>
      </c>
      <c r="Z611" s="7">
        <v>0</v>
      </c>
      <c r="AA611" t="s">
        <v>242</v>
      </c>
      <c r="AB611" t="s">
        <v>238</v>
      </c>
      <c r="AC611" t="s">
        <v>238</v>
      </c>
      <c r="AD611" s="2" t="s">
        <v>238</v>
      </c>
      <c r="AE611" s="2" t="s">
        <v>253</v>
      </c>
      <c r="AF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1" s="2" t="str">
        <f>SUBSTITUTE(SUBSTITUTE(PROPERTIES[[#This Row],[PURCHASECOST_VALUE]], "PURCHASECOST_", ""), "_VALUE", "")</f>
        <v>ELECTRICENGINE</v>
      </c>
      <c r="AI611" s="7" t="str" cm="1">
        <f t="array" ref="AI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1" s="43" t="b">
        <v>0</v>
      </c>
      <c r="AK611" s="8" t="b">
        <v>0</v>
      </c>
      <c r="BB611"/>
      <c r="BC611"/>
      <c r="BD611"/>
    </row>
    <row r="612" spans="1:56">
      <c r="A612" s="2" t="s">
        <v>3309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5" t="str">
        <f>_xlfn.XLOOKUP(PROPERTIES[[#This Row],[VEHIDCODE]],CONTROL[VEHIDCODE],CONTROL[ENGLISH])</f>
        <v>SLM/BBC/MFO Ge 4/4 I</v>
      </c>
      <c r="F612" t="s">
        <v>609</v>
      </c>
      <c r="G612" s="45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8">
        <v>47</v>
      </c>
      <c r="R612">
        <v>1590</v>
      </c>
      <c r="S612">
        <v>80</v>
      </c>
      <c r="T612" s="25">
        <v>135</v>
      </c>
      <c r="U612" s="24">
        <f>IFERROR(PROPERTIES[[#This Row],[TE_STARTING_KN]]/(PROPERTIES[[#This Row],[WEIGHT]]*9.81),0)</f>
        <v>0.29279718914698416</v>
      </c>
      <c r="V612" s="24">
        <v>0</v>
      </c>
      <c r="W612" s="21">
        <f>ROUND(IF(IFERROR(PROPERTIES[[#This Row],[TE_COEFFICIENT_CALC]],0)=0,PROPERTIES[[#This Row],[TE_COEFFICIENT_MANUAL]],PROPERTIES[[#This Row],[TE_COEFFICIENT_CALC]]),3)</f>
        <v>0.29299999999999998</v>
      </c>
      <c r="X612" s="9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1">
        <v>0</v>
      </c>
      <c r="Z612" s="7">
        <v>0</v>
      </c>
      <c r="AA612" t="s">
        <v>239</v>
      </c>
      <c r="AB612" t="s">
        <v>238</v>
      </c>
      <c r="AC612" t="s">
        <v>238</v>
      </c>
      <c r="AD612" s="2" t="s">
        <v>238</v>
      </c>
      <c r="AE612" s="2" t="s">
        <v>253</v>
      </c>
      <c r="AF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2" s="2" t="str">
        <f>SUBSTITUTE(SUBSTITUTE(PROPERTIES[[#This Row],[PURCHASECOST_VALUE]], "PURCHASECOST_", ""), "_VALUE", "")</f>
        <v>ELECTRICENGINE</v>
      </c>
      <c r="AI612" s="7" t="str" cm="1">
        <f t="array" ref="AI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2" s="43" t="b">
        <v>0</v>
      </c>
      <c r="AK612" s="8" t="b">
        <v>0</v>
      </c>
      <c r="BB612"/>
      <c r="BC612"/>
      <c r="BD612"/>
    </row>
    <row r="613" spans="1:56">
      <c r="A613" s="2" t="s">
        <v>3310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5" t="str">
        <f>_xlfn.XLOOKUP(PROPERTIES[[#This Row],[VEHIDCODE]],CONTROL[VEHIDCODE],CONTROL[ENGLISH])</f>
        <v>SLM/BBC/MFO Ge 6/6 'Krokodil'</v>
      </c>
      <c r="F613" t="s">
        <v>609</v>
      </c>
      <c r="G613" s="45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8">
        <v>66</v>
      </c>
      <c r="R613">
        <v>1260</v>
      </c>
      <c r="S613">
        <v>55</v>
      </c>
      <c r="T613" s="25">
        <v>131</v>
      </c>
      <c r="U613" s="24">
        <f>IFERROR(PROPERTIES[[#This Row],[TE_STARTING_KN]]/(PROPERTIES[[#This Row],[WEIGHT]]*9.81),0)</f>
        <v>0.20232910141167021</v>
      </c>
      <c r="V613" s="24">
        <v>0</v>
      </c>
      <c r="W613" s="21">
        <f>ROUND(IF(IFERROR(PROPERTIES[[#This Row],[TE_COEFFICIENT_CALC]],0)=0,PROPERTIES[[#This Row],[TE_COEFFICIENT_MANUAL]],PROPERTIES[[#This Row],[TE_COEFFICIENT_CALC]]),3)</f>
        <v>0.20200000000000001</v>
      </c>
      <c r="X613" s="9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1">
        <v>0</v>
      </c>
      <c r="Z613" s="7">
        <v>0</v>
      </c>
      <c r="AA613" t="s">
        <v>239</v>
      </c>
      <c r="AB613" t="s">
        <v>238</v>
      </c>
      <c r="AC613" t="s">
        <v>238</v>
      </c>
      <c r="AD613" s="2" t="s">
        <v>238</v>
      </c>
      <c r="AE613" s="2" t="s">
        <v>253</v>
      </c>
      <c r="AF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3" s="2" t="str">
        <f>SUBSTITUTE(SUBSTITUTE(PROPERTIES[[#This Row],[PURCHASECOST_VALUE]], "PURCHASECOST_", ""), "_VALUE", "")</f>
        <v>ELECTRICENGINE</v>
      </c>
      <c r="AI613" s="7" t="str" cm="1">
        <f t="array" ref="AI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3" s="43" t="b">
        <v>0</v>
      </c>
      <c r="AK613" s="8" t="b">
        <v>0</v>
      </c>
      <c r="BB613"/>
      <c r="BC613"/>
      <c r="BD613"/>
    </row>
    <row r="614" spans="1:56">
      <c r="A614" s="2" t="s">
        <v>3311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5" t="str">
        <f>_xlfn.XLOOKUP(PROPERTIES[[#This Row],[VEHIDCODE]],CONTROL[VEHIDCODE],CONTROL[ENGLISH])</f>
        <v>Stadler He 4/4</v>
      </c>
      <c r="F614" t="s">
        <v>597</v>
      </c>
      <c r="G614" s="45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8">
        <v>121</v>
      </c>
      <c r="R614">
        <v>6710</v>
      </c>
      <c r="S614">
        <v>60</v>
      </c>
      <c r="T614" s="25">
        <v>760</v>
      </c>
      <c r="U614" s="24">
        <f>IFERROR(PROPERTIES[[#This Row],[TE_STARTING_KN]]/(PROPERTIES[[#This Row],[WEIGHT]]*9.81),0)</f>
        <v>0.64026419322499395</v>
      </c>
      <c r="V614" s="24">
        <v>0</v>
      </c>
      <c r="W614" s="21">
        <f>ROUND(IF(IFERROR(PROPERTIES[[#This Row],[TE_COEFFICIENT_CALC]],0)=0,PROPERTIES[[#This Row],[TE_COEFFICIENT_MANUAL]],PROPERTIES[[#This Row],[TE_COEFFICIENT_CALC]]),3)</f>
        <v>0.64</v>
      </c>
      <c r="X614" s="9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1">
        <v>0</v>
      </c>
      <c r="Z614" s="7">
        <v>0</v>
      </c>
      <c r="AA614" t="s">
        <v>246</v>
      </c>
      <c r="AB614" t="s">
        <v>238</v>
      </c>
      <c r="AC614" t="s">
        <v>238</v>
      </c>
      <c r="AD614" s="2" t="s">
        <v>238</v>
      </c>
      <c r="AE614" s="2" t="s">
        <v>253</v>
      </c>
      <c r="AF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4" s="2" t="str">
        <f>SUBSTITUTE(SUBSTITUTE(PROPERTIES[[#This Row],[PURCHASECOST_VALUE]], "PURCHASECOST_", ""), "_VALUE", "")</f>
        <v>ELECTRICENGINE</v>
      </c>
      <c r="AI614" s="7" t="str" cm="1">
        <f t="array" ref="AI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14" s="43" t="b">
        <v>0</v>
      </c>
      <c r="AK614" s="8" t="b">
        <v>0</v>
      </c>
      <c r="BB614"/>
      <c r="BC614"/>
      <c r="BD614"/>
    </row>
    <row r="615" spans="1:56">
      <c r="A615" s="2" t="s">
        <v>3312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5" t="str">
        <f>_xlfn.XLOOKUP(PROPERTIES[[#This Row],[VEHIDCODE]],CONTROL[VEHIDCODE],CONTROL[ENGLISH])</f>
        <v>UCW 50 c/s Group 7E</v>
      </c>
      <c r="F615" t="s">
        <v>810</v>
      </c>
      <c r="G615" s="45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8">
        <v>124</v>
      </c>
      <c r="R615">
        <v>4000</v>
      </c>
      <c r="S615">
        <v>100</v>
      </c>
      <c r="T615" s="25">
        <v>450</v>
      </c>
      <c r="U615" s="24">
        <f>IFERROR(PROPERTIES[[#This Row],[TE_STARTING_KN]]/(PROPERTIES[[#This Row],[WEIGHT]]*9.81),0)</f>
        <v>0.36993193252441547</v>
      </c>
      <c r="V615" s="24">
        <v>0</v>
      </c>
      <c r="W615" s="21">
        <f>ROUND(IF(IFERROR(PROPERTIES[[#This Row],[TE_COEFFICIENT_CALC]],0)=0,PROPERTIES[[#This Row],[TE_COEFFICIENT_MANUAL]],PROPERTIES[[#This Row],[TE_COEFFICIENT_CALC]]),3)</f>
        <v>0.37</v>
      </c>
      <c r="X615" s="9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1">
        <v>0</v>
      </c>
      <c r="Z615" s="7">
        <v>0</v>
      </c>
      <c r="AA615" t="s">
        <v>242</v>
      </c>
      <c r="AB615" t="s">
        <v>238</v>
      </c>
      <c r="AC615" t="s">
        <v>238</v>
      </c>
      <c r="AD615" s="2" t="s">
        <v>238</v>
      </c>
      <c r="AE615" s="2" t="s">
        <v>253</v>
      </c>
      <c r="AF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5" s="2" t="str">
        <f>SUBSTITUTE(SUBSTITUTE(PROPERTIES[[#This Row],[PURCHASECOST_VALUE]], "PURCHASECOST_", ""), "_VALUE", "")</f>
        <v>ELECTRICENGINE</v>
      </c>
      <c r="AI615" s="7" t="str" cm="1">
        <f t="array" ref="AI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5" s="43" t="b">
        <v>0</v>
      </c>
      <c r="AK615" s="8" t="b">
        <v>0</v>
      </c>
      <c r="BB615"/>
      <c r="BC615"/>
      <c r="BD615"/>
    </row>
    <row r="616" spans="1:56">
      <c r="A616" s="2" t="s">
        <v>3313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5" t="str">
        <f>_xlfn.XLOOKUP(PROPERTIES[[#This Row],[VEHIDCODE]],CONTROL[VEHIDCODE],CONTROL[ENGLISH])</f>
        <v>General Motors GM5FC</v>
      </c>
      <c r="F616" t="s">
        <v>810</v>
      </c>
      <c r="G616" s="45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8">
        <v>172</v>
      </c>
      <c r="R616">
        <v>5200</v>
      </c>
      <c r="S616">
        <v>90</v>
      </c>
      <c r="T616" s="25">
        <v>580</v>
      </c>
      <c r="U616" s="24">
        <f>IFERROR(PROPERTIES[[#This Row],[TE_STARTING_KN]]/(PROPERTIES[[#This Row],[WEIGHT]]*9.81),0)</f>
        <v>0.34374036934310026</v>
      </c>
      <c r="V616" s="24">
        <v>0</v>
      </c>
      <c r="W616" s="21">
        <f>ROUND(IF(IFERROR(PROPERTIES[[#This Row],[TE_COEFFICIENT_CALC]],0)=0,PROPERTIES[[#This Row],[TE_COEFFICIENT_MANUAL]],PROPERTIES[[#This Row],[TE_COEFFICIENT_CALC]]),3)</f>
        <v>0.34399999999999997</v>
      </c>
      <c r="X616" s="9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1">
        <v>0</v>
      </c>
      <c r="Z616" s="7">
        <v>0</v>
      </c>
      <c r="AA616" t="s">
        <v>242</v>
      </c>
      <c r="AB616" t="s">
        <v>238</v>
      </c>
      <c r="AC616" t="s">
        <v>238</v>
      </c>
      <c r="AD616" s="2" t="s">
        <v>238</v>
      </c>
      <c r="AE616" s="2" t="s">
        <v>253</v>
      </c>
      <c r="AF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6" s="2" t="str">
        <f>SUBSTITUTE(SUBSTITUTE(PROPERTIES[[#This Row],[PURCHASECOST_VALUE]], "PURCHASECOST_", ""), "_VALUE", "")</f>
        <v>ELECTRICENGINE</v>
      </c>
      <c r="AI616" s="7" t="str" cm="1">
        <f t="array" ref="AI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16" s="43" t="b">
        <v>0</v>
      </c>
      <c r="AK616" s="8" t="b">
        <v>0</v>
      </c>
      <c r="BB616"/>
      <c r="BC616"/>
      <c r="BD616"/>
    </row>
    <row r="617" spans="1:56">
      <c r="A617" s="2" t="s">
        <v>3314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5" t="str">
        <f>_xlfn.XLOOKUP(PROPERTIES[[#This Row],[VEHIDCODE]],CONTROL[VEHIDCODE],CONTROL[ENGLISH])</f>
        <v>Brush EF Class</v>
      </c>
      <c r="F617" t="s">
        <v>736</v>
      </c>
      <c r="G617" s="45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8">
        <v>107</v>
      </c>
      <c r="R617">
        <v>4000</v>
      </c>
      <c r="S617">
        <v>105</v>
      </c>
      <c r="T617" s="25">
        <v>360</v>
      </c>
      <c r="U617" s="24">
        <f>IFERROR(PROPERTIES[[#This Row],[TE_STARTING_KN]]/(PROPERTIES[[#This Row],[WEIGHT]]*9.81),0)</f>
        <v>0.3429649318357198</v>
      </c>
      <c r="V617" s="24">
        <v>0</v>
      </c>
      <c r="W617" s="21">
        <f>ROUND(IF(IFERROR(PROPERTIES[[#This Row],[TE_COEFFICIENT_CALC]],0)=0,PROPERTIES[[#This Row],[TE_COEFFICIENT_MANUAL]],PROPERTIES[[#This Row],[TE_COEFFICIENT_CALC]]),3)</f>
        <v>0.34300000000000003</v>
      </c>
      <c r="X617" s="9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1">
        <v>0</v>
      </c>
      <c r="Z617" s="7">
        <v>0</v>
      </c>
      <c r="AA617" t="s">
        <v>241</v>
      </c>
      <c r="AB617" t="s">
        <v>238</v>
      </c>
      <c r="AC617" t="s">
        <v>238</v>
      </c>
      <c r="AD617" s="2" t="s">
        <v>238</v>
      </c>
      <c r="AE617" s="2" t="s">
        <v>253</v>
      </c>
      <c r="AF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7" s="2" t="str">
        <f>SUBSTITUTE(SUBSTITUTE(PROPERTIES[[#This Row],[PURCHASECOST_VALUE]], "PURCHASECOST_", ""), "_VALUE", "")</f>
        <v>ELECTRICENGINE</v>
      </c>
      <c r="AI617" s="7" t="str" cm="1">
        <f t="array" ref="AI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7" s="43" t="b">
        <v>0</v>
      </c>
      <c r="AK617" s="8" t="b">
        <v>0</v>
      </c>
      <c r="BB617"/>
      <c r="BC617"/>
      <c r="BD617"/>
    </row>
    <row r="618" spans="1:56">
      <c r="A618" s="2" t="s">
        <v>3315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5" t="str">
        <f>_xlfn.XLOOKUP(PROPERTIES[[#This Row],[VEHIDCODE]],CONTROL[VEHIDCODE],CONTROL[ENGLISH])</f>
        <v>Nippon Sharyo Odakyu 3100 series NSE</v>
      </c>
      <c r="F618" t="s">
        <v>679</v>
      </c>
      <c r="G618" s="45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8">
        <v>28.4</v>
      </c>
      <c r="R618">
        <f>536*2</f>
        <v>1072</v>
      </c>
      <c r="S618">
        <v>110</v>
      </c>
      <c r="T618" s="25">
        <v>35</v>
      </c>
      <c r="U618" s="24">
        <f>IFERROR(PROPERTIES[[#This Row],[TE_STARTING_KN]]/(PROPERTIES[[#This Row],[WEIGHT]]*9.81),0)</f>
        <v>0.12562633702315831</v>
      </c>
      <c r="V618" s="24">
        <v>0</v>
      </c>
      <c r="W618" s="21">
        <f>ROUND(IF(IFERROR(PROPERTIES[[#This Row],[TE_COEFFICIENT_CALC]],0)=0,PROPERTIES[[#This Row],[TE_COEFFICIENT_MANUAL]],PROPERTIES[[#This Row],[TE_COEFFICIENT_CALC]]),3)</f>
        <v>0.126</v>
      </c>
      <c r="X618" s="9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1">
        <v>42</v>
      </c>
      <c r="Z618" s="7">
        <v>8</v>
      </c>
      <c r="AA618" t="s">
        <v>247</v>
      </c>
      <c r="AB618" t="s">
        <v>238</v>
      </c>
      <c r="AC618" t="s">
        <v>238</v>
      </c>
      <c r="AD618" s="2" t="s">
        <v>238</v>
      </c>
      <c r="AE618" s="2" t="s">
        <v>253</v>
      </c>
      <c r="AF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8" s="2" t="str">
        <f>SUBSTITUTE(SUBSTITUTE(PROPERTIES[[#This Row],[PURCHASECOST_VALUE]], "PURCHASECOST_", ""), "_VALUE", "")</f>
        <v>EMU</v>
      </c>
      <c r="AI618" s="7" t="str" cm="1">
        <f t="array" ref="AI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8" s="43" t="b">
        <v>0</v>
      </c>
      <c r="AK618" s="8" t="b">
        <v>0</v>
      </c>
      <c r="BB618"/>
      <c r="BC618"/>
      <c r="BD618"/>
    </row>
    <row r="619" spans="1:56">
      <c r="A619" s="2" t="s">
        <v>3316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5" t="str">
        <f>_xlfn.XLOOKUP(PROPERTIES[[#This Row],[VEHIDCODE]],CONTROL[VEHIDCODE],CONTROL[ENGLISH])</f>
        <v>Nippon Sharyo Odakyu 10000 series HiSE</v>
      </c>
      <c r="F619" t="s">
        <v>679</v>
      </c>
      <c r="G619" s="45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8">
        <v>32.700000000000003</v>
      </c>
      <c r="R619">
        <v>1550</v>
      </c>
      <c r="S619">
        <v>110</v>
      </c>
      <c r="T619" s="25">
        <v>42</v>
      </c>
      <c r="U619" s="24">
        <f>IFERROR(PROPERTIES[[#This Row],[TE_STARTING_KN]]/(PROPERTIES[[#This Row],[WEIGHT]]*9.81),0)</f>
        <v>0.13092799895257601</v>
      </c>
      <c r="V619" s="24">
        <v>0</v>
      </c>
      <c r="W619" s="21">
        <f>ROUND(IF(IFERROR(PROPERTIES[[#This Row],[TE_COEFFICIENT_CALC]],0)=0,PROPERTIES[[#This Row],[TE_COEFFICIENT_MANUAL]],PROPERTIES[[#This Row],[TE_COEFFICIENT_CALC]]),3)</f>
        <v>0.13100000000000001</v>
      </c>
      <c r="X619" s="9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1">
        <v>44</v>
      </c>
      <c r="Z619" s="7">
        <v>8</v>
      </c>
      <c r="AA619" t="s">
        <v>247</v>
      </c>
      <c r="AB619" t="s">
        <v>238</v>
      </c>
      <c r="AC619" t="s">
        <v>238</v>
      </c>
      <c r="AD619" s="2" t="s">
        <v>238</v>
      </c>
      <c r="AE619" s="2" t="s">
        <v>253</v>
      </c>
      <c r="AF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9" s="2" t="str">
        <f>SUBSTITUTE(SUBSTITUTE(PROPERTIES[[#This Row],[PURCHASECOST_VALUE]], "PURCHASECOST_", ""), "_VALUE", "")</f>
        <v>EMU</v>
      </c>
      <c r="AI619" s="7" t="str" cm="1">
        <f t="array" ref="AI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9" s="43" t="b">
        <v>0</v>
      </c>
      <c r="AK619" s="8" t="b">
        <v>0</v>
      </c>
      <c r="BB619"/>
      <c r="BC619"/>
      <c r="BD619"/>
    </row>
    <row r="620" spans="1:56">
      <c r="A620" s="2" t="s">
        <v>3317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5" t="str">
        <f>_xlfn.XLOOKUP(PROPERTIES[[#This Row],[VEHIDCODE]],CONTROL[VEHIDCODE],CONTROL[ENGLISH])</f>
        <v>Comeng/Goninan S-set</v>
      </c>
      <c r="F620" t="s">
        <v>580</v>
      </c>
      <c r="G620" s="45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8">
        <v>47</v>
      </c>
      <c r="R620">
        <v>1600</v>
      </c>
      <c r="S620">
        <v>115</v>
      </c>
      <c r="T620" s="25">
        <v>110</v>
      </c>
      <c r="U620" s="24">
        <f>IFERROR(PROPERTIES[[#This Row],[TE_STARTING_KN]]/(PROPERTIES[[#This Row],[WEIGHT]]*9.81),0)</f>
        <v>0.2385754874530982</v>
      </c>
      <c r="V620" s="24">
        <v>0</v>
      </c>
      <c r="W620" s="21">
        <f>ROUND(IF(IFERROR(PROPERTIES[[#This Row],[TE_COEFFICIENT_CALC]],0)=0,PROPERTIES[[#This Row],[TE_COEFFICIENT_MANUAL]],PROPERTIES[[#This Row],[TE_COEFFICIENT_CALC]]),3)</f>
        <v>0.23899999999999999</v>
      </c>
      <c r="X620" s="9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1">
        <v>130</v>
      </c>
      <c r="Z620" s="7">
        <v>8</v>
      </c>
      <c r="AA620" t="s">
        <v>241</v>
      </c>
      <c r="AB620" t="s">
        <v>238</v>
      </c>
      <c r="AC620" t="s">
        <v>238</v>
      </c>
      <c r="AD620" s="2" t="s">
        <v>238</v>
      </c>
      <c r="AE620" s="2" t="s">
        <v>253</v>
      </c>
      <c r="AF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0" s="2" t="str">
        <f>SUBSTITUTE(SUBSTITUTE(PROPERTIES[[#This Row],[PURCHASECOST_VALUE]], "PURCHASECOST_", ""), "_VALUE", "")</f>
        <v>EMU</v>
      </c>
      <c r="AI620" s="7" t="str" cm="1">
        <f t="array" ref="AI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0" s="43" t="b">
        <v>0</v>
      </c>
      <c r="AK620" s="8" t="b">
        <v>0</v>
      </c>
      <c r="BB620"/>
      <c r="BC620"/>
      <c r="BD620"/>
    </row>
    <row r="621" spans="1:56">
      <c r="A621" s="2" t="s">
        <v>3318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5" t="str">
        <f>_xlfn.XLOOKUP(PROPERTIES[[#This Row],[VEHIDCODE]],CONTROL[VEHIDCODE],CONTROL[ENGLISH])</f>
        <v>UGL Rail H-set 'OSCAR'</v>
      </c>
      <c r="F621" t="s">
        <v>580</v>
      </c>
      <c r="G621" s="45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8">
        <v>57</v>
      </c>
      <c r="R621">
        <f>1072*2</f>
        <v>2144</v>
      </c>
      <c r="S621">
        <v>130</v>
      </c>
      <c r="T621" s="25">
        <v>110</v>
      </c>
      <c r="U621" s="24">
        <f>IFERROR(PROPERTIES[[#This Row],[TE_STARTING_KN]]/(PROPERTIES[[#This Row],[WEIGHT]]*9.81),0)</f>
        <v>0.19672013877711605</v>
      </c>
      <c r="V621" s="24">
        <v>0</v>
      </c>
      <c r="W621" s="21">
        <f>ROUND(IF(IFERROR(PROPERTIES[[#This Row],[TE_COEFFICIENT_CALC]],0)=0,PROPERTIES[[#This Row],[TE_COEFFICIENT_MANUAL]],PROPERTIES[[#This Row],[TE_COEFFICIENT_CALC]]),3)</f>
        <v>0.19700000000000001</v>
      </c>
      <c r="X621" s="9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1">
        <v>120</v>
      </c>
      <c r="Z621" s="7">
        <v>8</v>
      </c>
      <c r="AA621" t="s">
        <v>241</v>
      </c>
      <c r="AB621" t="s">
        <v>238</v>
      </c>
      <c r="AC621" t="s">
        <v>238</v>
      </c>
      <c r="AD621" s="2" t="s">
        <v>238</v>
      </c>
      <c r="AE621" s="2" t="s">
        <v>253</v>
      </c>
      <c r="AF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1" s="2" t="str">
        <f>SUBSTITUTE(SUBSTITUTE(PROPERTIES[[#This Row],[PURCHASECOST_VALUE]], "PURCHASECOST_", ""), "_VALUE", "")</f>
        <v>EMU</v>
      </c>
      <c r="AI621" s="7" t="str" cm="1">
        <f t="array" ref="AI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1" s="43" t="b">
        <v>0</v>
      </c>
      <c r="AK621" s="8" t="b">
        <v>0</v>
      </c>
      <c r="BB621"/>
      <c r="BC621"/>
      <c r="BD621"/>
    </row>
    <row r="622" spans="1:56">
      <c r="A622" s="2" t="s">
        <v>3319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5" t="str">
        <f>_xlfn.XLOOKUP(PROPERTIES[[#This Row],[VEHIDCODE]],CONTROL[VEHIDCODE],CONTROL[ENGLISH])</f>
        <v>Victorian Railways 'Swing Door'</v>
      </c>
      <c r="F622" t="s">
        <v>580</v>
      </c>
      <c r="G622" s="45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8">
        <v>47</v>
      </c>
      <c r="R622">
        <v>563</v>
      </c>
      <c r="S622">
        <v>83</v>
      </c>
      <c r="T622" s="25">
        <f>110/2</f>
        <v>55</v>
      </c>
      <c r="U622" s="24">
        <f>IFERROR(PROPERTIES[[#This Row],[TE_STARTING_KN]]/(PROPERTIES[[#This Row],[WEIGHT]]*9.81),0)</f>
        <v>0.1192877437265491</v>
      </c>
      <c r="V622" s="24">
        <v>0</v>
      </c>
      <c r="W622" s="21">
        <f>ROUND(IF(IFERROR(PROPERTIES[[#This Row],[TE_COEFFICIENT_CALC]],0)=0,PROPERTIES[[#This Row],[TE_COEFFICIENT_MANUAL]],PROPERTIES[[#This Row],[TE_COEFFICIENT_CALC]]),3)</f>
        <v>0.11899999999999999</v>
      </c>
      <c r="X622" s="9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1">
        <v>75</v>
      </c>
      <c r="Z622" s="7">
        <v>8</v>
      </c>
      <c r="AA622" t="s">
        <v>241</v>
      </c>
      <c r="AB622" t="s">
        <v>238</v>
      </c>
      <c r="AC622" t="s">
        <v>238</v>
      </c>
      <c r="AD622" s="2" t="s">
        <v>238</v>
      </c>
      <c r="AE622" s="2" t="s">
        <v>253</v>
      </c>
      <c r="AF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2" s="2" t="str">
        <f>SUBSTITUTE(SUBSTITUTE(PROPERTIES[[#This Row],[PURCHASECOST_VALUE]], "PURCHASECOST_", ""), "_VALUE", "")</f>
        <v>EMU</v>
      </c>
      <c r="AI622" s="7" t="str" cm="1">
        <f t="array" ref="AI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2" s="43" t="b">
        <v>0</v>
      </c>
      <c r="AK622" s="8" t="b">
        <v>0</v>
      </c>
      <c r="BB622"/>
      <c r="BC622"/>
      <c r="BD622"/>
    </row>
    <row r="623" spans="1:56">
      <c r="A623" s="2" t="s">
        <v>3561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5" t="str">
        <f>_xlfn.XLOOKUP(PROPERTIES[[#This Row],[VEHIDCODE]],CONTROL[VEHIDCODE],CONTROL[ENGLISH])</f>
        <v>Ganz-MAVAG EM/ET</v>
      </c>
      <c r="F623" t="s">
        <v>736</v>
      </c>
      <c r="G623" s="45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8">
        <v>37.6</v>
      </c>
      <c r="R623">
        <v>540</v>
      </c>
      <c r="S623">
        <v>95</v>
      </c>
      <c r="T623" s="25">
        <v>50</v>
      </c>
      <c r="U623" s="24">
        <f>IFERROR(PROPERTIES[[#This Row],[TE_STARTING_KN]]/(PROPERTIES[[#This Row],[WEIGHT]]*9.81),0)</f>
        <v>0.13555425423471487</v>
      </c>
      <c r="V623" s="24">
        <v>0</v>
      </c>
      <c r="W623" s="21">
        <f>ROUND(IF(IFERROR(PROPERTIES[[#This Row],[TE_COEFFICIENT_CALC]],0)=0,PROPERTIES[[#This Row],[TE_COEFFICIENT_MANUAL]],PROPERTIES[[#This Row],[TE_COEFFICIENT_CALC]]),3)</f>
        <v>0.13600000000000001</v>
      </c>
      <c r="X623" s="9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1">
        <v>74</v>
      </c>
      <c r="Z623" s="7">
        <v>8</v>
      </c>
      <c r="AA623" t="s">
        <v>241</v>
      </c>
      <c r="AB623" t="s">
        <v>238</v>
      </c>
      <c r="AC623" t="s">
        <v>238</v>
      </c>
      <c r="AD623" s="2" t="s">
        <v>238</v>
      </c>
      <c r="AE623" s="2" t="s">
        <v>253</v>
      </c>
      <c r="AF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3" s="2" t="str">
        <f>SUBSTITUTE(SUBSTITUTE(PROPERTIES[[#This Row],[PURCHASECOST_VALUE]], "PURCHASECOST_", ""), "_VALUE", "")</f>
        <v>EMU</v>
      </c>
      <c r="AI623" s="7" t="str" cm="1">
        <f t="array" ref="AI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3" s="43" t="b">
        <v>0</v>
      </c>
      <c r="AK623" s="8" t="b">
        <v>1</v>
      </c>
      <c r="BB623"/>
      <c r="BC623"/>
      <c r="BD623"/>
    </row>
    <row r="624" spans="1:56">
      <c r="A624" s="2" t="s">
        <v>3321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5" t="str">
        <f>_xlfn.XLOOKUP(PROPERTIES[[#This Row],[VEHIDCODE]],CONTROL[VEHIDCODE],CONTROL[ENGLISH])</f>
        <v>Metro-Cammell 5M2</v>
      </c>
      <c r="F624" t="s">
        <v>810</v>
      </c>
      <c r="G624" s="45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8">
        <v>60</v>
      </c>
      <c r="R624">
        <v>2480</v>
      </c>
      <c r="S624">
        <v>100</v>
      </c>
      <c r="T624" s="25">
        <v>160</v>
      </c>
      <c r="U624" s="24">
        <f>IFERROR(PROPERTIES[[#This Row],[TE_STARTING_KN]]/(PROPERTIES[[#This Row],[WEIGHT]]*9.81),0)</f>
        <v>0.27183146449201495</v>
      </c>
      <c r="V624" s="24">
        <v>0</v>
      </c>
      <c r="W624" s="21">
        <f>ROUND(IF(IFERROR(PROPERTIES[[#This Row],[TE_COEFFICIENT_CALC]],0)=0,PROPERTIES[[#This Row],[TE_COEFFICIENT_MANUAL]],PROPERTIES[[#This Row],[TE_COEFFICIENT_CALC]]),3)</f>
        <v>0.27200000000000002</v>
      </c>
      <c r="X624" s="9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1">
        <f>149+52</f>
        <v>201</v>
      </c>
      <c r="Z624" s="7">
        <v>7</v>
      </c>
      <c r="AA624" t="s">
        <v>242</v>
      </c>
      <c r="AB624" t="s">
        <v>238</v>
      </c>
      <c r="AC624" t="s">
        <v>238</v>
      </c>
      <c r="AD624" s="2" t="s">
        <v>238</v>
      </c>
      <c r="AE624" s="2" t="s">
        <v>253</v>
      </c>
      <c r="AF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4" s="2" t="str">
        <f>SUBSTITUTE(SUBSTITUTE(PROPERTIES[[#This Row],[PURCHASECOST_VALUE]], "PURCHASECOST_", ""), "_VALUE", "")</f>
        <v>EMU</v>
      </c>
      <c r="AI624" s="7" t="str" cm="1">
        <f t="array" ref="AI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4" s="43" t="b">
        <v>0</v>
      </c>
      <c r="AK624" s="8" t="b">
        <v>0</v>
      </c>
      <c r="BB624"/>
      <c r="BC624"/>
      <c r="BD624"/>
    </row>
    <row r="625" spans="1:56">
      <c r="A625" s="2" t="s">
        <v>3322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5" t="str">
        <f>_xlfn.XLOOKUP(PROPERTIES[[#This Row],[VEHIDCODE]],CONTROL[VEHIDCODE],CONTROL[ENGLISH])</f>
        <v>Alstom X'Trapolis 100</v>
      </c>
      <c r="F625" t="s">
        <v>612</v>
      </c>
      <c r="G625" s="45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8">
        <v>43</v>
      </c>
      <c r="R625">
        <v>1930</v>
      </c>
      <c r="S625">
        <v>130</v>
      </c>
      <c r="T625" s="25">
        <v>95</v>
      </c>
      <c r="U625" s="24">
        <f>IFERROR(PROPERTIES[[#This Row],[TE_STARTING_KN]]/(PROPERTIES[[#This Row],[WEIGHT]]*9.81),0)</f>
        <v>0.2252092075006519</v>
      </c>
      <c r="V625" s="24">
        <v>0</v>
      </c>
      <c r="W625" s="21">
        <f>ROUND(IF(IFERROR(PROPERTIES[[#This Row],[TE_COEFFICIENT_CALC]],0)=0,PROPERTIES[[#This Row],[TE_COEFFICIENT_MANUAL]],PROPERTIES[[#This Row],[TE_COEFFICIENT_CALC]]),3)</f>
        <v>0.22500000000000001</v>
      </c>
      <c r="X625" s="9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1">
        <v>96</v>
      </c>
      <c r="Z625" s="7">
        <v>8</v>
      </c>
      <c r="AA625" t="s">
        <v>246</v>
      </c>
      <c r="AB625" t="s">
        <v>238</v>
      </c>
      <c r="AC625" t="s">
        <v>238</v>
      </c>
      <c r="AD625" s="2" t="s">
        <v>238</v>
      </c>
      <c r="AE625" s="2" t="s">
        <v>253</v>
      </c>
      <c r="AF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5" s="2" t="str">
        <f>SUBSTITUTE(SUBSTITUTE(PROPERTIES[[#This Row],[PURCHASECOST_VALUE]], "PURCHASECOST_", ""), "_VALUE", "")</f>
        <v>EMU</v>
      </c>
      <c r="AI625" s="7" t="str" cm="1">
        <f t="array" ref="AI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5" s="43" t="b">
        <v>0</v>
      </c>
      <c r="AK625" s="8" t="b">
        <v>0</v>
      </c>
      <c r="BB625"/>
      <c r="BC625"/>
      <c r="BD625"/>
    </row>
    <row r="626" spans="1:56">
      <c r="A626" s="2" t="s">
        <v>3323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5" t="str">
        <f>_xlfn.XLOOKUP(PROPERTIES[[#This Row],[VEHIDCODE]],CONTROL[VEHIDCODE],CONTROL[ENGLISH])</f>
        <v>GEC/Fiat AES Railcar</v>
      </c>
      <c r="F626" t="s">
        <v>612</v>
      </c>
      <c r="G626" s="45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8">
        <v>52</v>
      </c>
      <c r="R626">
        <f>805*2</f>
        <v>1610</v>
      </c>
      <c r="S626">
        <v>130</v>
      </c>
      <c r="T626" s="25">
        <v>85</v>
      </c>
      <c r="U626" s="24">
        <f>IFERROR(PROPERTIES[[#This Row],[TE_STARTING_KN]]/(PROPERTIES[[#This Row],[WEIGHT]]*9.81),0)</f>
        <v>0.16662746020544186</v>
      </c>
      <c r="V626" s="24">
        <v>0</v>
      </c>
      <c r="W626" s="21">
        <f>ROUND(IF(IFERROR(PROPERTIES[[#This Row],[TE_COEFFICIENT_CALC]],0)=0,PROPERTIES[[#This Row],[TE_COEFFICIENT_MANUAL]],PROPERTIES[[#This Row],[TE_COEFFICIENT_CALC]]),3)</f>
        <v>0.16700000000000001</v>
      </c>
      <c r="X626" s="9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1">
        <v>92</v>
      </c>
      <c r="Z626" s="7">
        <v>7</v>
      </c>
      <c r="AA626" t="s">
        <v>246</v>
      </c>
      <c r="AB626" t="s">
        <v>238</v>
      </c>
      <c r="AC626" t="s">
        <v>238</v>
      </c>
      <c r="AD626" s="2" t="s">
        <v>238</v>
      </c>
      <c r="AE626" s="2" t="s">
        <v>253</v>
      </c>
      <c r="AF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6" s="2" t="str">
        <f>SUBSTITUTE(SUBSTITUTE(PROPERTIES[[#This Row],[PURCHASECOST_VALUE]], "PURCHASECOST_", ""), "_VALUE", "")</f>
        <v>EMU</v>
      </c>
      <c r="AI626" s="7" t="str" cm="1">
        <f t="array" ref="AI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6" s="43" t="b">
        <v>0</v>
      </c>
      <c r="AK626" s="8" t="b">
        <v>1</v>
      </c>
      <c r="BB626"/>
      <c r="BC626"/>
      <c r="BD626"/>
    </row>
    <row r="627" spans="1:56">
      <c r="A627" s="2" t="s">
        <v>3324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5" t="str">
        <f>_xlfn.XLOOKUP(PROPERTIES[[#This Row],[VEHIDCODE]],CONTROL[VEHIDCODE],CONTROL[ENGLISH])</f>
        <v>Ganz-MAVAG YZ-E</v>
      </c>
      <c r="F627" t="s">
        <v>787</v>
      </c>
      <c r="G627" s="45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8">
        <f>145/3</f>
        <v>48.333333333333336</v>
      </c>
      <c r="R627">
        <f>INT(1200*1.341)</f>
        <v>1609</v>
      </c>
      <c r="S627">
        <v>120</v>
      </c>
      <c r="T627" s="25">
        <v>125</v>
      </c>
      <c r="U627" s="24">
        <f>IFERROR(PROPERTIES[[#This Row],[TE_STARTING_KN]]/(PROPERTIES[[#This Row],[WEIGHT]]*9.81),0)</f>
        <v>0.26362965306337655</v>
      </c>
      <c r="V627" s="24">
        <v>0</v>
      </c>
      <c r="W627" s="21">
        <f>ROUND(IF(IFERROR(PROPERTIES[[#This Row],[TE_COEFFICIENT_CALC]],0)=0,PROPERTIES[[#This Row],[TE_COEFFICIENT_MANUAL]],PROPERTIES[[#This Row],[TE_COEFFICIENT_CALC]]),3)</f>
        <v>0.26400000000000001</v>
      </c>
      <c r="X627" s="9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1">
        <v>150</v>
      </c>
      <c r="Z627" s="7">
        <v>8</v>
      </c>
      <c r="AA627" t="s">
        <v>242</v>
      </c>
      <c r="AB627" t="s">
        <v>238</v>
      </c>
      <c r="AC627" t="s">
        <v>238</v>
      </c>
      <c r="AD627" s="2" t="s">
        <v>238</v>
      </c>
      <c r="AE627" s="2" t="s">
        <v>253</v>
      </c>
      <c r="AF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7" s="2" t="str">
        <f>SUBSTITUTE(SUBSTITUTE(PROPERTIES[[#This Row],[PURCHASECOST_VALUE]], "PURCHASECOST_", ""), "_VALUE", "")</f>
        <v>EMU</v>
      </c>
      <c r="AI627" s="7" t="str" cm="1">
        <f t="array" ref="AI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7" s="43" t="b">
        <v>0</v>
      </c>
      <c r="AK627" s="8" t="b">
        <v>0</v>
      </c>
      <c r="BB627"/>
      <c r="BC627"/>
      <c r="BD627"/>
    </row>
    <row r="628" spans="1:56">
      <c r="A628" s="2" t="s">
        <v>3325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5" t="str">
        <f>_xlfn.XLOOKUP(PROPERTIES[[#This Row],[VEHIDCODE]],CONTROL[VEHIDCODE],CONTROL[ENGLISH])</f>
        <v>Walkers Tilt Train 'ETT'</v>
      </c>
      <c r="F628" t="s">
        <v>580</v>
      </c>
      <c r="G628" s="45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8">
        <v>45</v>
      </c>
      <c r="R628">
        <f>910*2</f>
        <v>1820</v>
      </c>
      <c r="S628">
        <v>160</v>
      </c>
      <c r="T628" s="25">
        <v>105</v>
      </c>
      <c r="U628" s="24">
        <f>IFERROR(PROPERTIES[[#This Row],[TE_STARTING_KN]]/(PROPERTIES[[#This Row],[WEIGHT]]*9.81),0)</f>
        <v>0.23785253143051305</v>
      </c>
      <c r="V628" s="24">
        <v>0</v>
      </c>
      <c r="W628" s="21">
        <f>ROUND(IF(IFERROR(PROPERTIES[[#This Row],[TE_COEFFICIENT_CALC]],0)=0,PROPERTIES[[#This Row],[TE_COEFFICIENT_MANUAL]],PROPERTIES[[#This Row],[TE_COEFFICIENT_CALC]]),3)</f>
        <v>0.23799999999999999</v>
      </c>
      <c r="X628" s="9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1">
        <v>56</v>
      </c>
      <c r="Z628" s="7">
        <v>8</v>
      </c>
      <c r="AA628" t="s">
        <v>241</v>
      </c>
      <c r="AB628" t="s">
        <v>238</v>
      </c>
      <c r="AC628" t="s">
        <v>238</v>
      </c>
      <c r="AD628" s="2" t="s">
        <v>238</v>
      </c>
      <c r="AE628" s="2" t="s">
        <v>253</v>
      </c>
      <c r="AF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8" s="2" t="str">
        <f>SUBSTITUTE(SUBSTITUTE(PROPERTIES[[#This Row],[PURCHASECOST_VALUE]], "PURCHASECOST_", ""), "_VALUE", "")</f>
        <v>EMU</v>
      </c>
      <c r="AI628" s="7" t="str" cm="1">
        <f t="array" ref="AI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628" s="43" t="b">
        <v>0</v>
      </c>
      <c r="AK628" s="8" t="b">
        <v>0</v>
      </c>
      <c r="BB628"/>
      <c r="BC628"/>
      <c r="BD628"/>
    </row>
    <row r="629" spans="1:56">
      <c r="A629" s="2" t="s">
        <v>3326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5" t="str">
        <f>_xlfn.XLOOKUP(PROPERTIES[[#This Row],[VEHIDCODE]],CONTROL[VEHIDCODE],CONTROL[ENGLISH])</f>
        <v>NEVZ-TEVZ VL15</v>
      </c>
      <c r="F629" t="s">
        <v>755</v>
      </c>
      <c r="G629" s="45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8">
        <v>300</v>
      </c>
      <c r="R629">
        <v>12070</v>
      </c>
      <c r="S629">
        <v>100</v>
      </c>
      <c r="T629" s="25">
        <f>2*530</f>
        <v>1060</v>
      </c>
      <c r="U629" s="24">
        <f>IFERROR(PROPERTIES[[#This Row],[TE_STARTING_KN]]/(PROPERTIES[[#This Row],[WEIGHT]]*9.81),0)</f>
        <v>0.3601766904519198</v>
      </c>
      <c r="V629" s="24">
        <v>0</v>
      </c>
      <c r="W629" s="21">
        <f>ROUND(IF(IFERROR(PROPERTIES[[#This Row],[TE_COEFFICIENT_CALC]],0)=0,PROPERTIES[[#This Row],[TE_COEFFICIENT_MANUAL]],PROPERTIES[[#This Row],[TE_COEFFICIENT_CALC]]),3)</f>
        <v>0.36</v>
      </c>
      <c r="X629" s="9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1">
        <v>0</v>
      </c>
      <c r="Z629" s="7">
        <v>8</v>
      </c>
      <c r="AA629" t="s">
        <v>2013</v>
      </c>
      <c r="AB629" t="s">
        <v>238</v>
      </c>
      <c r="AC629" t="s">
        <v>238</v>
      </c>
      <c r="AD629" s="2" t="s">
        <v>238</v>
      </c>
      <c r="AE629" s="2" t="s">
        <v>253</v>
      </c>
      <c r="AF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29" s="2" t="str">
        <f>SUBSTITUTE(SUBSTITUTE(PROPERTIES[[#This Row],[PURCHASECOST_VALUE]], "PURCHASECOST_", ""), "_VALUE", "")</f>
        <v>ELECTRICENGINE</v>
      </c>
      <c r="AI629" s="7" t="str" cm="1">
        <f t="array" ref="AI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29" s="43" t="b">
        <v>0</v>
      </c>
      <c r="AK629" s="8" t="b">
        <v>0</v>
      </c>
      <c r="BB629"/>
      <c r="BC629"/>
      <c r="BD629"/>
    </row>
    <row r="630" spans="1:56">
      <c r="A630" s="2" t="s">
        <v>3327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5" t="str">
        <f>_xlfn.XLOOKUP(PROPERTIES[[#This Row],[VEHIDCODE]],CONTROL[VEHIDCODE],CONTROL[ENGLISH])</f>
        <v>TEVZ VL11</v>
      </c>
      <c r="F630" t="s">
        <v>755</v>
      </c>
      <c r="G630" s="45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8">
        <v>184</v>
      </c>
      <c r="R630">
        <v>7190</v>
      </c>
      <c r="S630">
        <v>100</v>
      </c>
      <c r="T630" s="25">
        <f>245*2</f>
        <v>490</v>
      </c>
      <c r="U630" s="24">
        <f>IFERROR(PROPERTIES[[#This Row],[TE_STARTING_KN]]/(PROPERTIES[[#This Row],[WEIGHT]]*9.81),0)</f>
        <v>0.27146212826308558</v>
      </c>
      <c r="V630" s="24">
        <v>0</v>
      </c>
      <c r="W630" s="21">
        <f>ROUND(IF(IFERROR(PROPERTIES[[#This Row],[TE_COEFFICIENT_CALC]],0)=0,PROPERTIES[[#This Row],[TE_COEFFICIENT_MANUAL]],PROPERTIES[[#This Row],[TE_COEFFICIENT_CALC]]),3)</f>
        <v>0.27100000000000002</v>
      </c>
      <c r="X630" s="9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1">
        <v>0</v>
      </c>
      <c r="Z630" s="7">
        <v>8</v>
      </c>
      <c r="AA630" t="s">
        <v>2013</v>
      </c>
      <c r="AB630" t="s">
        <v>238</v>
      </c>
      <c r="AC630" t="s">
        <v>238</v>
      </c>
      <c r="AD630" s="2" t="s">
        <v>238</v>
      </c>
      <c r="AE630" s="2" t="s">
        <v>253</v>
      </c>
      <c r="AF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0" s="2" t="str">
        <f>SUBSTITUTE(SUBSTITUTE(PROPERTIES[[#This Row],[PURCHASECOST_VALUE]], "PURCHASECOST_", ""), "_VALUE", "")</f>
        <v>ELECTRICENGINE</v>
      </c>
      <c r="AI630" s="7" t="str" cm="1">
        <f t="array" ref="AI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0" s="43" t="b">
        <v>0</v>
      </c>
      <c r="AK630" s="8" t="b">
        <v>0</v>
      </c>
      <c r="BB630"/>
      <c r="BC630"/>
      <c r="BD630"/>
    </row>
    <row r="631" spans="1:56">
      <c r="A631" s="2" t="s">
        <v>3328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5" t="str">
        <f>_xlfn.XLOOKUP(PROPERTIES[[#This Row],[VEHIDCODE]],CONTROL[VEHIDCODE],CONTROL[ENGLISH])</f>
        <v>NEVZ VL22M</v>
      </c>
      <c r="F631" t="s">
        <v>755</v>
      </c>
      <c r="G631" s="45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8">
        <v>132</v>
      </c>
      <c r="R631">
        <v>3220</v>
      </c>
      <c r="S631">
        <v>80</v>
      </c>
      <c r="T631" s="25">
        <v>0</v>
      </c>
      <c r="U631" s="24">
        <f>IFERROR(PROPERTIES[[#This Row],[TE_STARTING_KN]]/(PROPERTIES[[#This Row],[WEIGHT]]*9.81),0)</f>
        <v>0</v>
      </c>
      <c r="V631" s="24">
        <v>0.39</v>
      </c>
      <c r="W631" s="21">
        <f>ROUND(IF(IFERROR(PROPERTIES[[#This Row],[TE_COEFFICIENT_CALC]],0)=0,PROPERTIES[[#This Row],[TE_COEFFICIENT_MANUAL]],PROPERTIES[[#This Row],[TE_COEFFICIENT_CALC]]),3)</f>
        <v>0.39</v>
      </c>
      <c r="X631" s="9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1">
        <v>0</v>
      </c>
      <c r="Z631" s="7">
        <v>0</v>
      </c>
      <c r="AA631" t="s">
        <v>2013</v>
      </c>
      <c r="AB631" t="s">
        <v>238</v>
      </c>
      <c r="AC631" t="s">
        <v>238</v>
      </c>
      <c r="AD631" s="2" t="s">
        <v>238</v>
      </c>
      <c r="AE631" s="2" t="s">
        <v>253</v>
      </c>
      <c r="AF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1" s="2" t="str">
        <f>SUBSTITUTE(SUBSTITUTE(PROPERTIES[[#This Row],[PURCHASECOST_VALUE]], "PURCHASECOST_", ""), "_VALUE", "")</f>
        <v>ELECTRICENGINE</v>
      </c>
      <c r="AI631" s="7" t="str" cm="1">
        <f t="array" ref="AI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1" s="43" t="b">
        <v>0</v>
      </c>
      <c r="AK631" s="8" t="b">
        <v>0</v>
      </c>
      <c r="BB631"/>
      <c r="BC631"/>
      <c r="BD631"/>
    </row>
    <row r="632" spans="1:56">
      <c r="A632" s="2" t="s">
        <v>3329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5" t="str">
        <f>_xlfn.XLOOKUP(PROPERTIES[[#This Row],[VEHIDCODE]],CONTROL[VEHIDCODE],CONTROL[ENGLISH])</f>
        <v>DEVZ DE1</v>
      </c>
      <c r="F632" t="s">
        <v>793</v>
      </c>
      <c r="G632" s="45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8">
        <v>184</v>
      </c>
      <c r="R632">
        <v>8750</v>
      </c>
      <c r="S632">
        <v>100</v>
      </c>
      <c r="T632" s="25">
        <v>706</v>
      </c>
      <c r="U632" s="24">
        <f>IFERROR(PROPERTIES[[#This Row],[TE_STARTING_KN]]/(PROPERTIES[[#This Row],[WEIGHT]]*9.81),0)</f>
        <v>0.39112706643620082</v>
      </c>
      <c r="V632" s="24">
        <v>0</v>
      </c>
      <c r="W632" s="21">
        <f>ROUND(IF(IFERROR(PROPERTIES[[#This Row],[TE_COEFFICIENT_CALC]],0)=0,PROPERTIES[[#This Row],[TE_COEFFICIENT_MANUAL]],PROPERTIES[[#This Row],[TE_COEFFICIENT_CALC]]),3)</f>
        <v>0.39100000000000001</v>
      </c>
      <c r="X632" s="9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1">
        <v>0</v>
      </c>
      <c r="Z632" s="7">
        <v>0</v>
      </c>
      <c r="AA632" t="s">
        <v>245</v>
      </c>
      <c r="AB632" t="s">
        <v>238</v>
      </c>
      <c r="AC632" t="s">
        <v>238</v>
      </c>
      <c r="AD632" s="2" t="s">
        <v>238</v>
      </c>
      <c r="AE632" s="2" t="s">
        <v>253</v>
      </c>
      <c r="AF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2" s="2" t="str">
        <f>SUBSTITUTE(SUBSTITUTE(PROPERTIES[[#This Row],[PURCHASECOST_VALUE]], "PURCHASECOST_", ""), "_VALUE", "")</f>
        <v>ELECTRICENGINE</v>
      </c>
      <c r="AI632" s="7" t="str" cm="1">
        <f t="array" ref="AI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2" s="43" t="b">
        <v>0</v>
      </c>
      <c r="AK632" s="8" t="b">
        <v>0</v>
      </c>
      <c r="BB632"/>
      <c r="BC632"/>
      <c r="BD632"/>
    </row>
    <row r="633" spans="1:56">
      <c r="A633" s="2" t="s">
        <v>3330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5" t="str">
        <f>_xlfn.XLOOKUP(PROPERTIES[[#This Row],[VEHIDCODE]],CONTROL[VEHIDCODE],CONTROL[ENGLISH])</f>
        <v>Skoda 12E</v>
      </c>
      <c r="F633" t="s">
        <v>755</v>
      </c>
      <c r="G633" s="45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8">
        <v>85</v>
      </c>
      <c r="R633">
        <v>3755</v>
      </c>
      <c r="S633">
        <v>120</v>
      </c>
      <c r="T633" s="25">
        <v>260</v>
      </c>
      <c r="U633" s="24">
        <f>IFERROR(PROPERTIES[[#This Row],[TE_STARTING_KN]]/(PROPERTIES[[#This Row],[WEIGHT]]*9.81),0)</f>
        <v>0.31180667985848776</v>
      </c>
      <c r="V633" s="24">
        <v>0</v>
      </c>
      <c r="W633" s="21">
        <f>ROUND(IF(IFERROR(PROPERTIES[[#This Row],[TE_COEFFICIENT_CALC]],0)=0,PROPERTIES[[#This Row],[TE_COEFFICIENT_MANUAL]],PROPERTIES[[#This Row],[TE_COEFFICIENT_CALC]]),3)</f>
        <v>0.312</v>
      </c>
      <c r="X633" s="9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633" s="31">
        <v>0</v>
      </c>
      <c r="Z633" s="7">
        <v>0</v>
      </c>
      <c r="AA633" t="s">
        <v>2013</v>
      </c>
      <c r="AB633" t="s">
        <v>238</v>
      </c>
      <c r="AC633" t="s">
        <v>238</v>
      </c>
      <c r="AD633" s="2" t="s">
        <v>238</v>
      </c>
      <c r="AE633" s="2" t="s">
        <v>253</v>
      </c>
      <c r="AF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3" s="2" t="str">
        <f>SUBSTITUTE(SUBSTITUTE(PROPERTIES[[#This Row],[PURCHASECOST_VALUE]], "PURCHASECOST_", ""), "_VALUE", "")</f>
        <v>ELECTRICENGINE</v>
      </c>
      <c r="AI633" s="7" t="str" cm="1">
        <f t="array" ref="AI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3" s="43" t="b">
        <v>0</v>
      </c>
      <c r="AK633" s="8" t="b">
        <v>0</v>
      </c>
      <c r="BB633"/>
      <c r="BC633"/>
      <c r="BD633"/>
    </row>
    <row r="634" spans="1:56">
      <c r="A634" s="2" t="s">
        <v>3331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5" t="str">
        <f>_xlfn.XLOOKUP(PROPERTIES[[#This Row],[VEHIDCODE]],CONTROL[VEHIDCODE],CONTROL[ENGLISH])</f>
        <v>Skoda 82E</v>
      </c>
      <c r="F634" t="s">
        <v>793</v>
      </c>
      <c r="G634" s="45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8">
        <v>172</v>
      </c>
      <c r="R634">
        <v>8624</v>
      </c>
      <c r="S634">
        <v>160</v>
      </c>
      <c r="T634" s="25">
        <v>320</v>
      </c>
      <c r="U634" s="24">
        <f>IFERROR(PROPERTIES[[#This Row],[TE_STARTING_KN]]/(PROPERTIES[[#This Row],[WEIGHT]]*9.81),0)</f>
        <v>0.18964985894791739</v>
      </c>
      <c r="V634" s="24">
        <v>0</v>
      </c>
      <c r="W634" s="21">
        <f>ROUND(IF(IFERROR(PROPERTIES[[#This Row],[TE_COEFFICIENT_CALC]],0)=0,PROPERTIES[[#This Row],[TE_COEFFICIENT_MANUAL]],PROPERTIES[[#This Row],[TE_COEFFICIENT_CALC]]),3)</f>
        <v>0.19</v>
      </c>
      <c r="X634" s="9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1">
        <v>0</v>
      </c>
      <c r="Z634" s="7">
        <v>0</v>
      </c>
      <c r="AA634" t="s">
        <v>2013</v>
      </c>
      <c r="AB634" t="s">
        <v>238</v>
      </c>
      <c r="AC634" t="s">
        <v>238</v>
      </c>
      <c r="AD634" s="2" t="s">
        <v>238</v>
      </c>
      <c r="AE634" s="2" t="s">
        <v>253</v>
      </c>
      <c r="AF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4" s="2" t="str">
        <f>SUBSTITUTE(SUBSTITUTE(PROPERTIES[[#This Row],[PURCHASECOST_VALUE]], "PURCHASECOST_", ""), "_VALUE", "")</f>
        <v>ELECTRICENGINE</v>
      </c>
      <c r="AI634" s="7" t="str" cm="1">
        <f t="array" ref="AI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34" s="43" t="b">
        <v>0</v>
      </c>
      <c r="AK634" s="8" t="b">
        <v>0</v>
      </c>
      <c r="BB634"/>
      <c r="BC634"/>
      <c r="BD634"/>
    </row>
    <row r="635" spans="1:56">
      <c r="A635" s="2" t="s">
        <v>3332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5" t="str">
        <f>_xlfn.XLOOKUP(PROPERTIES[[#This Row],[VEHIDCODE]],CONTROL[VEHIDCODE],CONTROL[ENGLISH])</f>
        <v>GE C-C 4400 RFFSA</v>
      </c>
      <c r="F635" t="s">
        <v>597</v>
      </c>
      <c r="G635" s="45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8">
        <v>123</v>
      </c>
      <c r="R635">
        <v>4400</v>
      </c>
      <c r="S635">
        <v>117</v>
      </c>
      <c r="T635" s="25">
        <v>385</v>
      </c>
      <c r="U635" s="24">
        <f>IFERROR(PROPERTIES[[#This Row],[TE_STARTING_KN]]/(PROPERTIES[[#This Row],[WEIGHT]]*9.81),0)</f>
        <v>0.31907046899215169</v>
      </c>
      <c r="V635" s="24">
        <v>0</v>
      </c>
      <c r="W635" s="21">
        <f>ROUND(IF(IFERROR(PROPERTIES[[#This Row],[TE_COEFFICIENT_CALC]],0)=0,PROPERTIES[[#This Row],[TE_COEFFICIENT_MANUAL]],PROPERTIES[[#This Row],[TE_COEFFICIENT_CALC]]),3)</f>
        <v>0.31900000000000001</v>
      </c>
      <c r="X635" s="9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1">
        <v>0</v>
      </c>
      <c r="Z635" s="7">
        <v>0</v>
      </c>
      <c r="AA635" t="s">
        <v>246</v>
      </c>
      <c r="AB635" t="s">
        <v>238</v>
      </c>
      <c r="AC635" t="s">
        <v>238</v>
      </c>
      <c r="AD635" s="2" t="s">
        <v>238</v>
      </c>
      <c r="AE635" s="2" t="s">
        <v>253</v>
      </c>
      <c r="AF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5" s="2" t="str">
        <f>SUBSTITUTE(SUBSTITUTE(PROPERTIES[[#This Row],[PURCHASECOST_VALUE]], "PURCHASECOST_", ""), "_VALUE", "")</f>
        <v>ELECTRICENGINE</v>
      </c>
      <c r="AI635" s="7" t="str" cm="1">
        <f t="array" ref="AI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5" s="43" t="b">
        <v>0</v>
      </c>
      <c r="AK635" s="8" t="b">
        <v>0</v>
      </c>
      <c r="BB635"/>
      <c r="BC635"/>
      <c r="BD635"/>
    </row>
    <row r="636" spans="1:56">
      <c r="A636" s="2" t="s">
        <v>3333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5" t="str">
        <f>_xlfn.XLOOKUP(PROPERTIES[[#This Row],[VEHIDCODE]],CONTROL[VEHIDCODE],CONTROL[ENGLISH])</f>
        <v>NEVZ VL85</v>
      </c>
      <c r="F636" t="s">
        <v>755</v>
      </c>
      <c r="G636" s="45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8">
        <v>288</v>
      </c>
      <c r="R636">
        <v>13438</v>
      </c>
      <c r="S636">
        <v>110</v>
      </c>
      <c r="T636" s="25">
        <v>932</v>
      </c>
      <c r="U636" s="24">
        <f>IFERROR(PROPERTIES[[#This Row],[TE_STARTING_KN]]/(PROPERTIES[[#This Row],[WEIGHT]]*9.81),0)</f>
        <v>0.32987880847208062</v>
      </c>
      <c r="V636" s="24">
        <v>0</v>
      </c>
      <c r="W636" s="21">
        <f>ROUND(IF(IFERROR(PROPERTIES[[#This Row],[TE_COEFFICIENT_CALC]],0)=0,PROPERTIES[[#This Row],[TE_COEFFICIENT_MANUAL]],PROPERTIES[[#This Row],[TE_COEFFICIENT_CALC]]),3)</f>
        <v>0.33</v>
      </c>
      <c r="X636" s="9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1">
        <v>0</v>
      </c>
      <c r="Z636" s="7">
        <v>8</v>
      </c>
      <c r="AA636" t="s">
        <v>2013</v>
      </c>
      <c r="AB636" t="s">
        <v>238</v>
      </c>
      <c r="AC636" t="s">
        <v>238</v>
      </c>
      <c r="AD636" s="2" t="s">
        <v>238</v>
      </c>
      <c r="AE636" s="2" t="s">
        <v>253</v>
      </c>
      <c r="AF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6" s="2" t="str">
        <f>SUBSTITUTE(SUBSTITUTE(PROPERTIES[[#This Row],[PURCHASECOST_VALUE]], "PURCHASECOST_", ""), "_VALUE", "")</f>
        <v>ELECTRICENGINE</v>
      </c>
      <c r="AI636" s="7" t="str" cm="1">
        <f t="array" ref="AI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6" s="43" t="b">
        <v>0</v>
      </c>
      <c r="AK636" s="8" t="b">
        <v>0</v>
      </c>
      <c r="BB636"/>
      <c r="BC636"/>
      <c r="BD636"/>
    </row>
    <row r="637" spans="1:56">
      <c r="A637" s="2" t="s">
        <v>3334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5" t="str">
        <f>_xlfn.XLOOKUP(PROPERTIES[[#This Row],[VEHIDCODE]],CONTROL[VEHIDCODE],CONTROL[ENGLISH])</f>
        <v>DEVZ VL41</v>
      </c>
      <c r="F637" t="s">
        <v>755</v>
      </c>
      <c r="G637" s="45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8">
        <v>92</v>
      </c>
      <c r="R637">
        <v>2280</v>
      </c>
      <c r="S637">
        <v>70</v>
      </c>
      <c r="T637" s="25">
        <v>275</v>
      </c>
      <c r="U637" s="24">
        <f>IFERROR(PROPERTIES[[#This Row],[TE_STARTING_KN]]/(PROPERTIES[[#This Row],[WEIGHT]]*9.81),0)</f>
        <v>0.30470238886672868</v>
      </c>
      <c r="V637" s="24">
        <v>0</v>
      </c>
      <c r="W637" s="21">
        <f>ROUND(IF(IFERROR(PROPERTIES[[#This Row],[TE_COEFFICIENT_CALC]],0)=0,PROPERTIES[[#This Row],[TE_COEFFICIENT_MANUAL]],PROPERTIES[[#This Row],[TE_COEFFICIENT_CALC]]),3)</f>
        <v>0.30499999999999999</v>
      </c>
      <c r="X637" s="9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1">
        <v>0</v>
      </c>
      <c r="Z637" s="7">
        <v>0</v>
      </c>
      <c r="AA637" t="s">
        <v>2013</v>
      </c>
      <c r="AB637" t="s">
        <v>238</v>
      </c>
      <c r="AC637" t="s">
        <v>238</v>
      </c>
      <c r="AD637" s="2" t="s">
        <v>238</v>
      </c>
      <c r="AE637" s="2" t="s">
        <v>253</v>
      </c>
      <c r="AF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7" s="2" t="str">
        <f>SUBSTITUTE(SUBSTITUTE(PROPERTIES[[#This Row],[PURCHASECOST_VALUE]], "PURCHASECOST_", ""), "_VALUE", "")</f>
        <v>ELECTRICENGINE</v>
      </c>
      <c r="AI637" s="7" t="str" cm="1">
        <f t="array" ref="AI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37" s="43" t="b">
        <v>0</v>
      </c>
      <c r="AK637" s="8" t="b">
        <v>0</v>
      </c>
      <c r="BB637"/>
      <c r="BC637"/>
      <c r="BD637"/>
    </row>
    <row r="638" spans="1:56">
      <c r="A638" s="2" t="s">
        <v>3335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5" t="str">
        <f>_xlfn.XLOOKUP(PROPERTIES[[#This Row],[VEHIDCODE]],CONTROL[VEHIDCODE],CONTROL[ENGLISH])</f>
        <v>CLW WAP-4</v>
      </c>
      <c r="F638" t="s">
        <v>670</v>
      </c>
      <c r="G638" s="45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8">
        <v>113</v>
      </c>
      <c r="R638">
        <v>5350</v>
      </c>
      <c r="S638">
        <v>140</v>
      </c>
      <c r="T638" s="25">
        <v>302</v>
      </c>
      <c r="U638" s="24">
        <f>IFERROR(PROPERTIES[[#This Row],[TE_STARTING_KN]]/(PROPERTIES[[#This Row],[WEIGHT]]*9.81),0)</f>
        <v>0.2724328615373513</v>
      </c>
      <c r="V638" s="24">
        <v>0</v>
      </c>
      <c r="W638" s="21">
        <f>ROUND(IF(IFERROR(PROPERTIES[[#This Row],[TE_COEFFICIENT_CALC]],0)=0,PROPERTIES[[#This Row],[TE_COEFFICIENT_MANUAL]],PROPERTIES[[#This Row],[TE_COEFFICIENT_CALC]]),3)</f>
        <v>0.27200000000000002</v>
      </c>
      <c r="X638" s="9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1">
        <v>0</v>
      </c>
      <c r="Z638" s="7">
        <v>0</v>
      </c>
      <c r="AA638" t="s">
        <v>247</v>
      </c>
      <c r="AB638" t="s">
        <v>238</v>
      </c>
      <c r="AC638" t="s">
        <v>238</v>
      </c>
      <c r="AD638" s="2" t="s">
        <v>238</v>
      </c>
      <c r="AE638" s="2" t="s">
        <v>253</v>
      </c>
      <c r="AF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8" s="2" t="str">
        <f>SUBSTITUTE(SUBSTITUTE(PROPERTIES[[#This Row],[PURCHASECOST_VALUE]], "PURCHASECOST_", ""), "_VALUE", "")</f>
        <v>ELECTRICENGINE</v>
      </c>
      <c r="AI638" s="7" t="str" cm="1">
        <f t="array" ref="AI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8" s="43" t="b">
        <v>0</v>
      </c>
      <c r="AK638" s="8" t="b">
        <v>0</v>
      </c>
      <c r="BB638"/>
      <c r="BC638"/>
      <c r="BD638"/>
    </row>
    <row r="639" spans="1:56">
      <c r="A639" s="2" t="s">
        <v>3336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5" t="str">
        <f>_xlfn.XLOOKUP(PROPERTIES[[#This Row],[VEHIDCODE]],CONTROL[VEHIDCODE],CONTROL[ENGLISH])</f>
        <v>NEVZ ES40</v>
      </c>
      <c r="F639" t="s">
        <v>636</v>
      </c>
      <c r="G639" s="45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8">
        <v>84</v>
      </c>
      <c r="R639">
        <v>4428</v>
      </c>
      <c r="S639">
        <v>140</v>
      </c>
      <c r="T639" s="25">
        <v>280</v>
      </c>
      <c r="U639" s="24">
        <f>IFERROR(PROPERTIES[[#This Row],[TE_STARTING_KN]]/(PROPERTIES[[#This Row],[WEIGHT]]*9.81),0)</f>
        <v>0.33978933061501865</v>
      </c>
      <c r="V639" s="24">
        <v>0</v>
      </c>
      <c r="W639" s="21">
        <f>ROUND(IF(IFERROR(PROPERTIES[[#This Row],[TE_COEFFICIENT_CALC]],0)=0,PROPERTIES[[#This Row],[TE_COEFFICIENT_MANUAL]],PROPERTIES[[#This Row],[TE_COEFFICIENT_CALC]]),3)</f>
        <v>0.34</v>
      </c>
      <c r="X639" s="9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1">
        <v>0</v>
      </c>
      <c r="Z639" s="7">
        <v>0</v>
      </c>
      <c r="AA639" t="s">
        <v>243</v>
      </c>
      <c r="AB639" t="s">
        <v>238</v>
      </c>
      <c r="AC639" t="s">
        <v>238</v>
      </c>
      <c r="AD639" s="2" t="s">
        <v>238</v>
      </c>
      <c r="AE639" s="2" t="s">
        <v>253</v>
      </c>
      <c r="AF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9" s="2" t="str">
        <f>SUBSTITUTE(SUBSTITUTE(PROPERTIES[[#This Row],[PURCHASECOST_VALUE]], "PURCHASECOST_", ""), "_VALUE", "")</f>
        <v>ELECTRICENGINE</v>
      </c>
      <c r="AI639" s="7" t="str" cm="1">
        <f t="array" ref="AI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9" s="43" t="b">
        <v>0</v>
      </c>
      <c r="AK639" s="8" t="b">
        <v>0</v>
      </c>
      <c r="BB639"/>
      <c r="BC639"/>
      <c r="BD639"/>
    </row>
    <row r="640" spans="1:56">
      <c r="A640" s="2" t="s">
        <v>3337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5" t="str">
        <f>_xlfn.XLOOKUP(PROPERTIES[[#This Row],[VEHIDCODE]],CONTROL[VEHIDCODE],CONTROL[ENGLISH])</f>
        <v>Zuzhou KZ4A</v>
      </c>
      <c r="F640" t="s">
        <v>690</v>
      </c>
      <c r="G640" s="45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8">
        <v>82</v>
      </c>
      <c r="R640">
        <v>6500</v>
      </c>
      <c r="S640">
        <v>210</v>
      </c>
      <c r="T640" s="25">
        <v>264</v>
      </c>
      <c r="U640" s="24">
        <f>IFERROR(PROPERTIES[[#This Row],[TE_STARTING_KN]]/(PROPERTIES[[#This Row],[WEIGHT]]*9.81),0)</f>
        <v>0.32818676810621317</v>
      </c>
      <c r="V640" s="24">
        <v>0</v>
      </c>
      <c r="W640" s="21">
        <f>ROUND(IF(IFERROR(PROPERTIES[[#This Row],[TE_COEFFICIENT_CALC]],0)=0,PROPERTIES[[#This Row],[TE_COEFFICIENT_MANUAL]],PROPERTIES[[#This Row],[TE_COEFFICIENT_CALC]]),3)</f>
        <v>0.32800000000000001</v>
      </c>
      <c r="X640" s="9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1">
        <v>0</v>
      </c>
      <c r="Z640" s="7">
        <v>0</v>
      </c>
      <c r="AA640" t="s">
        <v>247</v>
      </c>
      <c r="AB640" t="s">
        <v>238</v>
      </c>
      <c r="AC640" t="s">
        <v>238</v>
      </c>
      <c r="AD640" s="2" t="s">
        <v>238</v>
      </c>
      <c r="AE640" s="2" t="s">
        <v>253</v>
      </c>
      <c r="AF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0" s="2" t="str">
        <f>SUBSTITUTE(SUBSTITUTE(PROPERTIES[[#This Row],[PURCHASECOST_VALUE]], "PURCHASECOST_", ""), "_VALUE", "")</f>
        <v>ELECTRICENGINE</v>
      </c>
      <c r="AI640" s="7" t="str" cm="1">
        <f t="array" ref="AI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0" s="43" t="b">
        <v>0</v>
      </c>
      <c r="AK640" s="8" t="b">
        <v>0</v>
      </c>
      <c r="BB640"/>
      <c r="BC640"/>
      <c r="BD640"/>
    </row>
    <row r="641" spans="1:56">
      <c r="A641" s="2" t="s">
        <v>3338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5" t="str">
        <f>_xlfn.XLOOKUP(PROPERTIES[[#This Row],[VEHIDCODE]],CONTROL[VEHIDCODE],CONTROL[ENGLISH])</f>
        <v>Alstom KZ8A</v>
      </c>
      <c r="F641" t="s">
        <v>690</v>
      </c>
      <c r="G641" s="45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8">
        <v>200</v>
      </c>
      <c r="R641">
        <v>11800</v>
      </c>
      <c r="S641">
        <v>120</v>
      </c>
      <c r="T641" s="25">
        <v>833</v>
      </c>
      <c r="U641" s="24">
        <f>IFERROR(PROPERTIES[[#This Row],[TE_STARTING_KN]]/(PROPERTIES[[#This Row],[WEIGHT]]*9.81),0)</f>
        <v>0.42456676860346587</v>
      </c>
      <c r="V641" s="24">
        <v>0</v>
      </c>
      <c r="W641" s="21">
        <f>ROUND(IF(IFERROR(PROPERTIES[[#This Row],[TE_COEFFICIENT_CALC]],0)=0,PROPERTIES[[#This Row],[TE_COEFFICIENT_MANUAL]],PROPERTIES[[#This Row],[TE_COEFFICIENT_CALC]]),3)</f>
        <v>0.42499999999999999</v>
      </c>
      <c r="X641" s="9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1">
        <v>0</v>
      </c>
      <c r="Z641" s="7">
        <v>8</v>
      </c>
      <c r="AA641" t="s">
        <v>247</v>
      </c>
      <c r="AB641" t="s">
        <v>238</v>
      </c>
      <c r="AC641" t="s">
        <v>238</v>
      </c>
      <c r="AD641" s="2" t="s">
        <v>238</v>
      </c>
      <c r="AE641" s="2" t="s">
        <v>253</v>
      </c>
      <c r="AF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1" s="2" t="str">
        <f>SUBSTITUTE(SUBSTITUTE(PROPERTIES[[#This Row],[PURCHASECOST_VALUE]], "PURCHASECOST_", ""), "_VALUE", "")</f>
        <v>ELECTRICENGINE</v>
      </c>
      <c r="AI641" s="7" t="str" cm="1">
        <f t="array" ref="AI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41" s="43" t="b">
        <v>0</v>
      </c>
      <c r="AK641" s="8" t="b">
        <v>0</v>
      </c>
      <c r="BB641"/>
      <c r="BC641"/>
      <c r="BD641"/>
    </row>
    <row r="642" spans="1:56">
      <c r="A642" s="2" t="s">
        <v>3339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5" t="str">
        <f>_xlfn.XLOOKUP(PROPERTIES[[#This Row],[VEHIDCODE]],CONTROL[VEHIDCODE],CONTROL[ENGLISH])</f>
        <v>TRTrans/NEVZ EP20</v>
      </c>
      <c r="F642" t="s">
        <v>755</v>
      </c>
      <c r="G642" s="45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8">
        <v>135</v>
      </c>
      <c r="R642">
        <v>9655</v>
      </c>
      <c r="S642">
        <v>200</v>
      </c>
      <c r="T642" s="25">
        <v>450</v>
      </c>
      <c r="U642" s="24">
        <f>IFERROR(PROPERTIES[[#This Row],[TE_STARTING_KN]]/(PROPERTIES[[#This Row],[WEIGHT]]*9.81),0)</f>
        <v>0.33978933061501865</v>
      </c>
      <c r="V642" s="24">
        <v>0</v>
      </c>
      <c r="W642" s="21">
        <f>ROUND(IF(IFERROR(PROPERTIES[[#This Row],[TE_COEFFICIENT_CALC]],0)=0,PROPERTIES[[#This Row],[TE_COEFFICIENT_MANUAL]],PROPERTIES[[#This Row],[TE_COEFFICIENT_CALC]]),3)</f>
        <v>0.34</v>
      </c>
      <c r="X642" s="9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1">
        <v>0</v>
      </c>
      <c r="Z642" s="7">
        <v>0</v>
      </c>
      <c r="AA642" t="s">
        <v>2013</v>
      </c>
      <c r="AB642" t="s">
        <v>238</v>
      </c>
      <c r="AC642" t="s">
        <v>238</v>
      </c>
      <c r="AD642" s="2" t="s">
        <v>238</v>
      </c>
      <c r="AE642" s="2" t="s">
        <v>253</v>
      </c>
      <c r="AF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2" s="2" t="str">
        <f>SUBSTITUTE(SUBSTITUTE(PROPERTIES[[#This Row],[PURCHASECOST_VALUE]], "PURCHASECOST_", ""), "_VALUE", "")</f>
        <v>ELECTRICENGINE</v>
      </c>
      <c r="AI642" s="7" t="str" cm="1">
        <f t="array" ref="AI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2" s="43" t="b">
        <v>0</v>
      </c>
      <c r="AK642" s="8" t="b">
        <v>0</v>
      </c>
      <c r="BB642"/>
      <c r="BC642"/>
      <c r="BD642"/>
    </row>
    <row r="643" spans="1:56">
      <c r="A643" s="2" t="s">
        <v>3340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5" t="str">
        <f>_xlfn.XLOOKUP(PROPERTIES[[#This Row],[VEHIDCODE]],CONTROL[VEHIDCODE],CONTROL[ENGLISH])</f>
        <v>Valmet Dm7</v>
      </c>
      <c r="F643" t="s">
        <v>636</v>
      </c>
      <c r="G643" s="45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8">
        <v>18</v>
      </c>
      <c r="R643">
        <v>180</v>
      </c>
      <c r="S643">
        <v>95</v>
      </c>
      <c r="T643" s="25">
        <v>29</v>
      </c>
      <c r="U643" s="24">
        <f>IFERROR(PROPERTIES[[#This Row],[TE_STARTING_KN]]/(PROPERTIES[[#This Row],[WEIGHT]]*9.81),0)</f>
        <v>0.16423150979725903</v>
      </c>
      <c r="V643" s="24">
        <v>0</v>
      </c>
      <c r="W643" s="21">
        <f>ROUND(IF(IFERROR(PROPERTIES[[#This Row],[TE_COEFFICIENT_CALC]],0)=0,PROPERTIES[[#This Row],[TE_COEFFICIENT_MANUAL]],PROPERTIES[[#This Row],[TE_COEFFICIENT_CALC]]),3)</f>
        <v>0.16400000000000001</v>
      </c>
      <c r="X643" s="9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1">
        <v>0</v>
      </c>
      <c r="Z643" s="7">
        <v>0</v>
      </c>
      <c r="AA643" t="s">
        <v>243</v>
      </c>
      <c r="AB643" t="s">
        <v>238</v>
      </c>
      <c r="AC643" t="s">
        <v>238</v>
      </c>
      <c r="AD643" s="2" t="s">
        <v>238</v>
      </c>
      <c r="AE643" s="2" t="s">
        <v>253</v>
      </c>
      <c r="AF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3" s="2" t="str">
        <f>SUBSTITUTE(SUBSTITUTE(PROPERTIES[[#This Row],[PURCHASECOST_VALUE]], "PURCHASECOST_", ""), "_VALUE", "")</f>
        <v>DIESELRAILBUS</v>
      </c>
      <c r="AI643" s="7" t="str" cm="1">
        <f t="array" ref="AI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3" s="43" t="b">
        <v>0</v>
      </c>
      <c r="AK643" s="8" t="b">
        <v>0</v>
      </c>
      <c r="BB643"/>
      <c r="BC643"/>
      <c r="BD643"/>
    </row>
    <row r="644" spans="1:56">
      <c r="A644" s="2" t="s">
        <v>3341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5" t="str">
        <f>_xlfn.XLOOKUP(PROPERTIES[[#This Row],[VEHIDCODE]],CONTROL[VEHIDCODE],CONTROL[ENGLISH])</f>
        <v xml:space="preserve">Vagonka Studenka 91M0 </v>
      </c>
      <c r="F644" t="s">
        <v>755</v>
      </c>
      <c r="G644" s="45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8">
        <v>59</v>
      </c>
      <c r="R644">
        <v>990</v>
      </c>
      <c r="S644">
        <v>120</v>
      </c>
      <c r="T644" s="25">
        <v>157</v>
      </c>
      <c r="U644" s="24">
        <f>IFERROR(PROPERTIES[[#This Row],[TE_STARTING_KN]]/(PROPERTIES[[#This Row],[WEIGHT]]*9.81),0)</f>
        <v>0.27125555037232846</v>
      </c>
      <c r="V644" s="24">
        <v>0</v>
      </c>
      <c r="W644" s="21">
        <f>ROUND(IF(IFERROR(PROPERTIES[[#This Row],[TE_COEFFICIENT_CALC]],0)=0,PROPERTIES[[#This Row],[TE_COEFFICIENT_MANUAL]],PROPERTIES[[#This Row],[TE_COEFFICIENT_CALC]]),3)</f>
        <v>0.27100000000000002</v>
      </c>
      <c r="X644" s="9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1">
        <v>0</v>
      </c>
      <c r="Z644" s="7">
        <v>0</v>
      </c>
      <c r="AA644" t="s">
        <v>2013</v>
      </c>
      <c r="AB644" t="s">
        <v>238</v>
      </c>
      <c r="AC644" t="s">
        <v>238</v>
      </c>
      <c r="AD644" s="2" t="s">
        <v>238</v>
      </c>
      <c r="AE644" s="2" t="s">
        <v>253</v>
      </c>
      <c r="AF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4" s="2" t="str">
        <f>SUBSTITUTE(SUBSTITUTE(PROPERTIES[[#This Row],[PURCHASECOST_VALUE]], "PURCHASECOST_", ""), "_VALUE", "")</f>
        <v>DIESELRAILBUS</v>
      </c>
      <c r="AI644" s="7" t="str" cm="1">
        <f t="array" ref="AI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4" s="43" t="b">
        <v>0</v>
      </c>
      <c r="AK644" s="8" t="b">
        <v>0</v>
      </c>
      <c r="BB644"/>
      <c r="BC644"/>
      <c r="BD644"/>
    </row>
    <row r="645" spans="1:56">
      <c r="A645" s="2" t="s">
        <v>3342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5" t="str">
        <f>_xlfn.XLOOKUP(PROPERTIES[[#This Row],[VEHIDCODE]],CONTROL[VEHIDCODE],CONTROL[ENGLISH])</f>
        <v>RVR ER200</v>
      </c>
      <c r="F645" t="s">
        <v>755</v>
      </c>
      <c r="G645" s="45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8">
        <v>49</v>
      </c>
      <c r="R645">
        <v>1280</v>
      </c>
      <c r="S645">
        <v>200</v>
      </c>
      <c r="T645" s="25">
        <v>35.6</v>
      </c>
      <c r="U645" s="24">
        <f>IFERROR(PROPERTIES[[#This Row],[TE_STARTING_KN]]/(PROPERTIES[[#This Row],[WEIGHT]]*9.81),0)</f>
        <v>7.4060205121804071E-2</v>
      </c>
      <c r="V645" s="24">
        <v>0</v>
      </c>
      <c r="W645" s="21">
        <f>ROUND(IF(IFERROR(PROPERTIES[[#This Row],[TE_COEFFICIENT_CALC]],0)=0,PROPERTIES[[#This Row],[TE_COEFFICIENT_MANUAL]],PROPERTIES[[#This Row],[TE_COEFFICIENT_CALC]]),3)</f>
        <v>7.3999999999999996E-2</v>
      </c>
      <c r="X645" s="9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1">
        <v>64</v>
      </c>
      <c r="Z645" s="7">
        <v>8</v>
      </c>
      <c r="AA645" t="s">
        <v>245</v>
      </c>
      <c r="AB645" t="s">
        <v>238</v>
      </c>
      <c r="AC645" t="s">
        <v>238</v>
      </c>
      <c r="AD645" s="2" t="s">
        <v>238</v>
      </c>
      <c r="AE645" s="2" t="s">
        <v>253</v>
      </c>
      <c r="AF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5" s="2" t="str">
        <f>SUBSTITUTE(SUBSTITUTE(PROPERTIES[[#This Row],[PURCHASECOST_VALUE]], "PURCHASECOST_", ""), "_VALUE", "")</f>
        <v>EMU</v>
      </c>
      <c r="AI645" s="7" t="str" cm="1">
        <f t="array" ref="AI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5" s="43" t="b">
        <v>0</v>
      </c>
      <c r="AK645" s="8" t="b">
        <v>0</v>
      </c>
      <c r="BB645"/>
      <c r="BC645"/>
      <c r="BD645"/>
    </row>
    <row r="646" spans="1:56">
      <c r="A646" s="2" t="s">
        <v>3343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5" t="str">
        <f>_xlfn.XLOOKUP(PROPERTIES[[#This Row],[VEHIDCODE]],CONTROL[VEHIDCODE],CONTROL[ENGLISH])</f>
        <v>MMZ 'S'</v>
      </c>
      <c r="F646" t="s">
        <v>755</v>
      </c>
      <c r="G646" s="45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8">
        <v>58.9</v>
      </c>
      <c r="R646">
        <f>805*2</f>
        <v>1610</v>
      </c>
      <c r="S646">
        <v>85</v>
      </c>
      <c r="T646" s="25">
        <v>145</v>
      </c>
      <c r="U646" s="24">
        <f>IFERROR(PROPERTIES[[#This Row],[TE_STARTING_KN]]/(PROPERTIES[[#This Row],[WEIGHT]]*9.81),0)</f>
        <v>0.25094797761890175</v>
      </c>
      <c r="V646" s="24">
        <v>0</v>
      </c>
      <c r="W646" s="21">
        <f>ROUND(IF(IFERROR(PROPERTIES[[#This Row],[TE_COEFFICIENT_CALC]],0)=0,PROPERTIES[[#This Row],[TE_COEFFICIENT_MANUAL]],PROPERTIES[[#This Row],[TE_COEFFICIENT_CALC]]),3)</f>
        <v>0.251</v>
      </c>
      <c r="X646" s="9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1">
        <v>110</v>
      </c>
      <c r="Z646" s="7">
        <v>7</v>
      </c>
      <c r="AA646" t="s">
        <v>2016</v>
      </c>
      <c r="AB646" t="s">
        <v>238</v>
      </c>
      <c r="AC646" t="s">
        <v>238</v>
      </c>
      <c r="AD646" s="2" t="s">
        <v>238</v>
      </c>
      <c r="AE646" s="2" t="s">
        <v>253</v>
      </c>
      <c r="AF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6" s="2" t="str">
        <f>SUBSTITUTE(SUBSTITUTE(PROPERTIES[[#This Row],[PURCHASECOST_VALUE]], "PURCHASECOST_", ""), "_VALUE", "")</f>
        <v>EMU</v>
      </c>
      <c r="AI646" s="7" t="str" cm="1">
        <f t="array" ref="AI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6" s="43" t="b">
        <v>0</v>
      </c>
      <c r="AK646" s="8" t="b">
        <v>0</v>
      </c>
      <c r="BB646"/>
      <c r="BC646"/>
      <c r="BD646"/>
    </row>
    <row r="647" spans="1:56">
      <c r="A647" s="2" t="s">
        <v>3344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5" t="str">
        <f>_xlfn.XLOOKUP(PROPERTIES[[#This Row],[VEHIDCODE]],CONTROL[VEHIDCODE],CONTROL[ENGLISH])</f>
        <v>Koncar 6112</v>
      </c>
      <c r="F647" t="s">
        <v>663</v>
      </c>
      <c r="G647" s="45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8">
        <v>43</v>
      </c>
      <c r="R647">
        <v>2700</v>
      </c>
      <c r="S647">
        <v>160</v>
      </c>
      <c r="T647" s="25">
        <v>100</v>
      </c>
      <c r="U647" s="24">
        <f>IFERROR(PROPERTIES[[#This Row],[TE_STARTING_KN]]/(PROPERTIES[[#This Row],[WEIGHT]]*9.81),0)</f>
        <v>0.23706232368489674</v>
      </c>
      <c r="V647" s="24">
        <v>0</v>
      </c>
      <c r="W647" s="21">
        <f>ROUND(IF(IFERROR(PROPERTIES[[#This Row],[TE_COEFFICIENT_CALC]],0)=0,PROPERTIES[[#This Row],[TE_COEFFICIENT_MANUAL]],PROPERTIES[[#This Row],[TE_COEFFICIENT_CALC]]),3)</f>
        <v>0.23699999999999999</v>
      </c>
      <c r="X647" s="9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1">
        <v>60</v>
      </c>
      <c r="Z647" s="7">
        <v>8</v>
      </c>
      <c r="AA647" t="s">
        <v>245</v>
      </c>
      <c r="AB647" t="s">
        <v>238</v>
      </c>
      <c r="AC647" t="s">
        <v>238</v>
      </c>
      <c r="AD647" s="2" t="s">
        <v>238</v>
      </c>
      <c r="AE647" s="2" t="s">
        <v>253</v>
      </c>
      <c r="AF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7" s="2" t="str">
        <f>SUBSTITUTE(SUBSTITUTE(PROPERTIES[[#This Row],[PURCHASECOST_VALUE]], "PURCHASECOST_", ""), "_VALUE", "")</f>
        <v>EMU</v>
      </c>
      <c r="AI647" s="7" t="str" cm="1">
        <f t="array" ref="AI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7" s="43" t="b">
        <v>0</v>
      </c>
      <c r="AK647" s="8" t="b">
        <v>0</v>
      </c>
      <c r="BB647"/>
      <c r="BC647"/>
      <c r="BD647"/>
    </row>
    <row r="648" spans="1:56">
      <c r="A648" s="2" t="s">
        <v>3345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5" t="str">
        <f>_xlfn.XLOOKUP(PROPERTIES[[#This Row],[VEHIDCODE]],CONTROL[VEHIDCODE],CONTROL[ENGLISH])</f>
        <v>Siemens Desiro ES1 'Lastochka'</v>
      </c>
      <c r="F648" t="s">
        <v>755</v>
      </c>
      <c r="G648" s="45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8">
        <v>56</v>
      </c>
      <c r="R648">
        <v>2700</v>
      </c>
      <c r="S648">
        <v>160</v>
      </c>
      <c r="T648" s="25">
        <v>90</v>
      </c>
      <c r="U648" s="24">
        <f>IFERROR(PROPERTIES[[#This Row],[TE_STARTING_KN]]/(PROPERTIES[[#This Row],[WEIGHT]]*9.81),0)</f>
        <v>0.163826998689384</v>
      </c>
      <c r="V648" s="24">
        <v>0</v>
      </c>
      <c r="W648" s="21">
        <f>ROUND(IF(IFERROR(PROPERTIES[[#This Row],[TE_COEFFICIENT_CALC]],0)=0,PROPERTIES[[#This Row],[TE_COEFFICIENT_MANUAL]],PROPERTIES[[#This Row],[TE_COEFFICIENT_CALC]]),3)</f>
        <v>0.16400000000000001</v>
      </c>
      <c r="X648" s="9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1">
        <v>88</v>
      </c>
      <c r="Z648" s="7">
        <v>8</v>
      </c>
      <c r="AA648" t="s">
        <v>247</v>
      </c>
      <c r="AB648" t="s">
        <v>238</v>
      </c>
      <c r="AC648" t="s">
        <v>238</v>
      </c>
      <c r="AD648" s="2" t="s">
        <v>238</v>
      </c>
      <c r="AE648" s="2" t="s">
        <v>253</v>
      </c>
      <c r="AF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8" s="2" t="str">
        <f>SUBSTITUTE(SUBSTITUTE(PROPERTIES[[#This Row],[PURCHASECOST_VALUE]], "PURCHASECOST_", ""), "_VALUE", "")</f>
        <v>EMU</v>
      </c>
      <c r="AI648" s="7" t="str" cm="1">
        <f t="array" ref="AI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8" s="43" t="b">
        <v>0</v>
      </c>
      <c r="AK648" s="8" t="b">
        <v>0</v>
      </c>
      <c r="BB648"/>
      <c r="BC648"/>
      <c r="BD648"/>
    </row>
    <row r="649" spans="1:56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5" t="str">
        <f>_xlfn.XLOOKUP(PROPERTIES[[#This Row],[VEHIDCODE]],CONTROL[VEHIDCODE],CONTROL[ENGLISH])</f>
        <v>Metro Unit Wagon</v>
      </c>
      <c r="G649" s="45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8">
        <v>0</v>
      </c>
      <c r="R649">
        <v>0</v>
      </c>
      <c r="S649">
        <v>0</v>
      </c>
      <c r="T649" s="25">
        <v>0</v>
      </c>
      <c r="U649" s="24">
        <f>IFERROR(PROPERTIES[[#This Row],[TE_STARTING_KN]]/(PROPERTIES[[#This Row],[WEIGHT]]*9.81),0)</f>
        <v>0</v>
      </c>
      <c r="V649" s="24">
        <v>0.3</v>
      </c>
      <c r="W649" s="21">
        <f>ROUND(IF(IFERROR(PROPERTIES[[#This Row],[TE_COEFFICIENT_CALC]],0)=0,PROPERTIES[[#This Row],[TE_COEFFICIENT_MANUAL]],PROPERTIES[[#This Row],[TE_COEFFICIENT_CALC]]),3)</f>
        <v>0.3</v>
      </c>
      <c r="X649" s="9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1">
        <v>0</v>
      </c>
      <c r="Z649" s="7">
        <v>0</v>
      </c>
      <c r="AA649" t="s">
        <v>250</v>
      </c>
      <c r="AB649" t="s">
        <v>238</v>
      </c>
      <c r="AC649" t="s">
        <v>238</v>
      </c>
      <c r="AD649" s="2" t="s">
        <v>238</v>
      </c>
      <c r="AE649" s="2" t="s">
        <v>253</v>
      </c>
      <c r="AF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49" s="2" t="str">
        <f>SUBSTITUTE(SUBSTITUTE(PROPERTIES[[#This Row],[PURCHASECOST_VALUE]], "PURCHASECOST_", ""), "_VALUE", "")</f>
        <v>METRO</v>
      </c>
      <c r="AI649" s="7" t="str" cm="1">
        <f t="array" ref="AI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49" s="43" t="b">
        <v>0</v>
      </c>
      <c r="AK649" s="8" t="b">
        <v>0</v>
      </c>
      <c r="BB649"/>
      <c r="BC649"/>
      <c r="BD649"/>
    </row>
    <row r="650" spans="1:56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5" t="str">
        <f>_xlfn.XLOOKUP(PROPERTIES[[#This Row],[VEHIDCODE]],CONTROL[VEHIDCODE],CONTROL[ENGLISH])</f>
        <v>Metro Unit Wagon</v>
      </c>
      <c r="G650" s="45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8">
        <v>0</v>
      </c>
      <c r="R650">
        <v>0</v>
      </c>
      <c r="S650">
        <v>0</v>
      </c>
      <c r="T650" s="25">
        <v>0</v>
      </c>
      <c r="U650" s="24">
        <f>IFERROR(PROPERTIES[[#This Row],[TE_STARTING_KN]]/(PROPERTIES[[#This Row],[WEIGHT]]*9.81),0)</f>
        <v>0</v>
      </c>
      <c r="V650" s="24">
        <v>0.3</v>
      </c>
      <c r="W650" s="21">
        <f>ROUND(IF(IFERROR(PROPERTIES[[#This Row],[TE_COEFFICIENT_CALC]],0)=0,PROPERTIES[[#This Row],[TE_COEFFICIENT_MANUAL]],PROPERTIES[[#This Row],[TE_COEFFICIENT_CALC]]),3)</f>
        <v>0.3</v>
      </c>
      <c r="X650" s="9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1">
        <v>0</v>
      </c>
      <c r="Z650" s="7">
        <v>0</v>
      </c>
      <c r="AA650" t="s">
        <v>250</v>
      </c>
      <c r="AB650" t="s">
        <v>238</v>
      </c>
      <c r="AC650" t="s">
        <v>238</v>
      </c>
      <c r="AD650" s="2" t="s">
        <v>238</v>
      </c>
      <c r="AE650" s="2" t="s">
        <v>253</v>
      </c>
      <c r="AF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50" s="2" t="str">
        <f>SUBSTITUTE(SUBSTITUTE(PROPERTIES[[#This Row],[PURCHASECOST_VALUE]], "PURCHASECOST_", ""), "_VALUE", "")</f>
        <v>METRO</v>
      </c>
      <c r="AI650" s="7" t="str" cm="1">
        <f t="array" ref="AI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0" s="43" t="b">
        <v>0</v>
      </c>
      <c r="AK650" s="8" t="b">
        <v>0</v>
      </c>
      <c r="BB650"/>
      <c r="BC650"/>
      <c r="BD650"/>
    </row>
    <row r="651" spans="1:56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5" t="str">
        <f>_xlfn.XLOOKUP(PROPERTIES[[#This Row],[VEHIDCODE]],CONTROL[VEHIDCODE],CONTROL[ENGLISH])</f>
        <v>Multiple Unit Cargo Wagon</v>
      </c>
      <c r="G651" s="45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8">
        <v>0</v>
      </c>
      <c r="R651">
        <v>0</v>
      </c>
      <c r="S651">
        <v>0</v>
      </c>
      <c r="T651" s="25">
        <v>0</v>
      </c>
      <c r="U651" s="24">
        <f>IFERROR(PROPERTIES[[#This Row],[TE_STARTING_KN]]/(PROPERTIES[[#This Row],[WEIGHT]]*9.81),0)</f>
        <v>0</v>
      </c>
      <c r="V651" s="24">
        <v>0.3</v>
      </c>
      <c r="W651" s="21">
        <f>ROUND(IF(IFERROR(PROPERTIES[[#This Row],[TE_COEFFICIENT_CALC]],0)=0,PROPERTIES[[#This Row],[TE_COEFFICIENT_MANUAL]],PROPERTIES[[#This Row],[TE_COEFFICIENT_CALC]]),3)</f>
        <v>0.3</v>
      </c>
      <c r="X651" s="9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1">
        <v>0</v>
      </c>
      <c r="Z651" s="7">
        <v>0</v>
      </c>
      <c r="AA651" t="s">
        <v>250</v>
      </c>
      <c r="AB651" t="s">
        <v>238</v>
      </c>
      <c r="AC651" t="s">
        <v>238</v>
      </c>
      <c r="AD651" s="2" t="s">
        <v>238</v>
      </c>
      <c r="AE651" s="2" t="s">
        <v>253</v>
      </c>
      <c r="AF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1" s="2" t="str">
        <f>SUBSTITUTE(SUBSTITUTE(PROPERTIES[[#This Row],[PURCHASECOST_VALUE]], "PURCHASECOST_", ""), "_VALUE", "")</f>
        <v>DMU</v>
      </c>
      <c r="AI651" s="7" t="str" cm="1">
        <f t="array" ref="AI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1" s="43" t="b">
        <v>0</v>
      </c>
      <c r="AK651" s="8" t="b">
        <v>0</v>
      </c>
      <c r="BB651"/>
      <c r="BC651"/>
      <c r="BD651"/>
    </row>
    <row r="652" spans="1:56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5" t="str">
        <f>_xlfn.XLOOKUP(PROPERTIES[[#This Row],[VEHIDCODE]],CONTROL[VEHIDCODE],CONTROL[ENGLISH])</f>
        <v>Multiple Unit Cargo Wagon</v>
      </c>
      <c r="G652" s="45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8">
        <v>0</v>
      </c>
      <c r="R652">
        <v>0</v>
      </c>
      <c r="S652">
        <v>0</v>
      </c>
      <c r="T652" s="25">
        <v>0</v>
      </c>
      <c r="U652" s="24">
        <f>IFERROR(PROPERTIES[[#This Row],[TE_STARTING_KN]]/(PROPERTIES[[#This Row],[WEIGHT]]*9.81),0)</f>
        <v>0</v>
      </c>
      <c r="V652" s="24">
        <v>0.3</v>
      </c>
      <c r="W652" s="21">
        <f>ROUND(IF(IFERROR(PROPERTIES[[#This Row],[TE_COEFFICIENT_CALC]],0)=0,PROPERTIES[[#This Row],[TE_COEFFICIENT_MANUAL]],PROPERTIES[[#This Row],[TE_COEFFICIENT_CALC]]),3)</f>
        <v>0.3</v>
      </c>
      <c r="X652" s="9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1">
        <v>0</v>
      </c>
      <c r="Z652" s="7">
        <v>0</v>
      </c>
      <c r="AA652" t="s">
        <v>250</v>
      </c>
      <c r="AB652" t="s">
        <v>238</v>
      </c>
      <c r="AC652" t="s">
        <v>238</v>
      </c>
      <c r="AD652" s="2" t="s">
        <v>238</v>
      </c>
      <c r="AE652" s="2" t="s">
        <v>253</v>
      </c>
      <c r="AF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2" s="2" t="str">
        <f>SUBSTITUTE(SUBSTITUTE(PROPERTIES[[#This Row],[PURCHASECOST_VALUE]], "PURCHASECOST_", ""), "_VALUE", "")</f>
        <v>DMU</v>
      </c>
      <c r="AI652" s="7" t="str" cm="1">
        <f t="array" ref="AI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2" s="43" t="b">
        <v>0</v>
      </c>
      <c r="AK652" s="8" t="b">
        <v>0</v>
      </c>
      <c r="BB652"/>
      <c r="BC652"/>
      <c r="BD652"/>
    </row>
    <row r="653" spans="1:56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5" t="str">
        <f>_xlfn.XLOOKUP(PROPERTIES[[#This Row],[VEHIDCODE]],CONTROL[VEHIDCODE],CONTROL[ENGLISH])</f>
        <v>Multiple Unit Wagon</v>
      </c>
      <c r="G653" s="45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8">
        <v>0</v>
      </c>
      <c r="R653">
        <v>0</v>
      </c>
      <c r="S653">
        <v>0</v>
      </c>
      <c r="T653" s="25">
        <v>0</v>
      </c>
      <c r="U653" s="24">
        <f>IFERROR(PROPERTIES[[#This Row],[TE_STARTING_KN]]/(PROPERTIES[[#This Row],[WEIGHT]]*9.81),0)</f>
        <v>0</v>
      </c>
      <c r="V653" s="24">
        <v>0.3</v>
      </c>
      <c r="W653" s="21">
        <f>ROUND(IF(IFERROR(PROPERTIES[[#This Row],[TE_COEFFICIENT_CALC]],0)=0,PROPERTIES[[#This Row],[TE_COEFFICIENT_MANUAL]],PROPERTIES[[#This Row],[TE_COEFFICIENT_CALC]]),3)</f>
        <v>0.3</v>
      </c>
      <c r="X653" s="9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1">
        <v>0</v>
      </c>
      <c r="Z653" s="7">
        <v>0</v>
      </c>
      <c r="AA653" t="s">
        <v>250</v>
      </c>
      <c r="AB653" t="s">
        <v>238</v>
      </c>
      <c r="AC653" t="s">
        <v>238</v>
      </c>
      <c r="AD653" s="2" t="s">
        <v>238</v>
      </c>
      <c r="AE653" s="2" t="s">
        <v>253</v>
      </c>
      <c r="AF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3" s="2" t="str">
        <f>SUBSTITUTE(SUBSTITUTE(PROPERTIES[[#This Row],[PURCHASECOST_VALUE]], "PURCHASECOST_", ""), "_VALUE", "")</f>
        <v>DMU</v>
      </c>
      <c r="AI653" s="7" t="str" cm="1">
        <f t="array" ref="AI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3" s="43" t="b">
        <v>0</v>
      </c>
      <c r="AK653" s="8" t="b">
        <v>0</v>
      </c>
      <c r="BB653"/>
      <c r="BC653"/>
      <c r="BD653"/>
    </row>
    <row r="654" spans="1:56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5" t="str">
        <f>_xlfn.XLOOKUP(PROPERTIES[[#This Row],[VEHIDCODE]],CONTROL[VEHIDCODE],CONTROL[ENGLISH])</f>
        <v>Multiple Unit Wagon</v>
      </c>
      <c r="G654" s="45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8">
        <v>0</v>
      </c>
      <c r="R654">
        <v>0</v>
      </c>
      <c r="S654">
        <v>0</v>
      </c>
      <c r="T654" s="25">
        <v>0</v>
      </c>
      <c r="U654" s="24">
        <f>IFERROR(PROPERTIES[[#This Row],[TE_STARTING_KN]]/(PROPERTIES[[#This Row],[WEIGHT]]*9.81),0)</f>
        <v>0</v>
      </c>
      <c r="V654" s="24">
        <v>0.3</v>
      </c>
      <c r="W654" s="21">
        <f>ROUND(IF(IFERROR(PROPERTIES[[#This Row],[TE_COEFFICIENT_CALC]],0)=0,PROPERTIES[[#This Row],[TE_COEFFICIENT_MANUAL]],PROPERTIES[[#This Row],[TE_COEFFICIENT_CALC]]),3)</f>
        <v>0.3</v>
      </c>
      <c r="X654" s="9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1">
        <v>0</v>
      </c>
      <c r="Z654" s="7">
        <v>0</v>
      </c>
      <c r="AA654" t="s">
        <v>250</v>
      </c>
      <c r="AB654" t="s">
        <v>238</v>
      </c>
      <c r="AC654" t="s">
        <v>238</v>
      </c>
      <c r="AD654" s="2" t="s">
        <v>238</v>
      </c>
      <c r="AE654" s="2" t="s">
        <v>253</v>
      </c>
      <c r="AF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4" s="2" t="str">
        <f>SUBSTITUTE(SUBSTITUTE(PROPERTIES[[#This Row],[PURCHASECOST_VALUE]], "PURCHASECOST_", ""), "_VALUE", "")</f>
        <v>DMU</v>
      </c>
      <c r="AI654" s="7" t="str" cm="1">
        <f t="array" ref="AI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4" s="43" t="b">
        <v>0</v>
      </c>
      <c r="AK654" s="8" t="b">
        <v>0</v>
      </c>
      <c r="BB654"/>
      <c r="BC654"/>
      <c r="BD654"/>
    </row>
    <row r="655" spans="1:56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5" t="str">
        <f>_xlfn.XLOOKUP(PROPERTIES[[#This Row],[VEHIDCODE]],CONTROL[VEHIDCODE],CONTROL[ENGLISH])</f>
        <v>1st Gen Flat Wagon</v>
      </c>
      <c r="G655" s="45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8">
        <v>5</v>
      </c>
      <c r="R655">
        <v>0</v>
      </c>
      <c r="S655">
        <v>55</v>
      </c>
      <c r="T655" s="25">
        <v>0</v>
      </c>
      <c r="U655" s="24">
        <f>IFERROR(PROPERTIES[[#This Row],[TE_STARTING_KN]]/(PROPERTIES[[#This Row],[WEIGHT]]*9.81),0)</f>
        <v>0</v>
      </c>
      <c r="V655" s="24">
        <v>0.3</v>
      </c>
      <c r="W655" s="21">
        <f>ROUND(IF(IFERROR(PROPERTIES[[#This Row],[TE_COEFFICIENT_CALC]],0)=0,PROPERTIES[[#This Row],[TE_COEFFICIENT_MANUAL]],PROPERTIES[[#This Row],[TE_COEFFICIENT_CALC]]),3)</f>
        <v>0.3</v>
      </c>
      <c r="X655" s="9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1">
        <v>0</v>
      </c>
      <c r="Z655" s="7">
        <v>0</v>
      </c>
      <c r="AA655" t="s">
        <v>250</v>
      </c>
      <c r="AB655" t="s">
        <v>238</v>
      </c>
      <c r="AC655" t="s">
        <v>238</v>
      </c>
      <c r="AD655" s="2" t="s">
        <v>238</v>
      </c>
      <c r="AE655" s="2" t="s">
        <v>253</v>
      </c>
      <c r="AF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5" s="2" t="str">
        <f>SUBSTITUTE(SUBSTITUTE(PROPERTIES[[#This Row],[PURCHASECOST_VALUE]], "PURCHASECOST_", ""), "_VALUE", "")</f>
        <v>WAGON</v>
      </c>
      <c r="AI655" s="7" t="str" cm="1">
        <f t="array" ref="AI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5" s="43" t="b">
        <v>0</v>
      </c>
      <c r="AK655" s="8" t="b">
        <v>0</v>
      </c>
      <c r="BB655"/>
      <c r="BC655"/>
      <c r="BD655"/>
    </row>
    <row r="656" spans="1:56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5" t="str">
        <f>_xlfn.XLOOKUP(PROPERTIES[[#This Row],[VEHIDCODE]],CONTROL[VEHIDCODE],CONTROL[ENGLISH])</f>
        <v>1st Gen Wooden Box Van</v>
      </c>
      <c r="G656" s="45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8">
        <v>6</v>
      </c>
      <c r="R656">
        <v>0</v>
      </c>
      <c r="S656">
        <v>55</v>
      </c>
      <c r="T656" s="25">
        <v>0</v>
      </c>
      <c r="U656" s="24">
        <f>IFERROR(PROPERTIES[[#This Row],[TE_STARTING_KN]]/(PROPERTIES[[#This Row],[WEIGHT]]*9.81),0)</f>
        <v>0</v>
      </c>
      <c r="V656" s="24">
        <v>0.3</v>
      </c>
      <c r="W656" s="21">
        <f>ROUND(IF(IFERROR(PROPERTIES[[#This Row],[TE_COEFFICIENT_CALC]],0)=0,PROPERTIES[[#This Row],[TE_COEFFICIENT_MANUAL]],PROPERTIES[[#This Row],[TE_COEFFICIENT_CALC]]),3)</f>
        <v>0.3</v>
      </c>
      <c r="X656" s="9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1">
        <v>0</v>
      </c>
      <c r="Z656" s="7">
        <v>0</v>
      </c>
      <c r="AA656" t="s">
        <v>250</v>
      </c>
      <c r="AB656" t="s">
        <v>238</v>
      </c>
      <c r="AC656" t="s">
        <v>238</v>
      </c>
      <c r="AD656" s="2" t="s">
        <v>238</v>
      </c>
      <c r="AE656" s="2" t="s">
        <v>253</v>
      </c>
      <c r="AF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6" s="2" t="str">
        <f>SUBSTITUTE(SUBSTITUTE(PROPERTIES[[#This Row],[PURCHASECOST_VALUE]], "PURCHASECOST_", ""), "_VALUE", "")</f>
        <v>WAGON</v>
      </c>
      <c r="AI656" s="7" t="str" cm="1">
        <f t="array" ref="AI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6" s="43" t="b">
        <v>0</v>
      </c>
      <c r="AK656" s="8" t="b">
        <v>0</v>
      </c>
      <c r="BB656"/>
      <c r="BC656"/>
      <c r="BD656"/>
    </row>
    <row r="657" spans="1:56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5" t="str">
        <f>_xlfn.XLOOKUP(PROPERTIES[[#This Row],[VEHIDCODE]],CONTROL[VEHIDCODE],CONTROL[ENGLISH])</f>
        <v>1st Gen Tanker</v>
      </c>
      <c r="G657" s="45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8">
        <v>7</v>
      </c>
      <c r="R657">
        <v>0</v>
      </c>
      <c r="S657">
        <v>55</v>
      </c>
      <c r="T657" s="25">
        <v>0</v>
      </c>
      <c r="U657" s="24">
        <f>IFERROR(PROPERTIES[[#This Row],[TE_STARTING_KN]]/(PROPERTIES[[#This Row],[WEIGHT]]*9.81),0)</f>
        <v>0</v>
      </c>
      <c r="V657" s="24">
        <v>0.3</v>
      </c>
      <c r="W657" s="21">
        <f>ROUND(IF(IFERROR(PROPERTIES[[#This Row],[TE_COEFFICIENT_CALC]],0)=0,PROPERTIES[[#This Row],[TE_COEFFICIENT_MANUAL]],PROPERTIES[[#This Row],[TE_COEFFICIENT_CALC]]),3)</f>
        <v>0.3</v>
      </c>
      <c r="X657" s="9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1">
        <v>0</v>
      </c>
      <c r="Z657" s="7">
        <v>0</v>
      </c>
      <c r="AA657" t="s">
        <v>250</v>
      </c>
      <c r="AB657" t="s">
        <v>238</v>
      </c>
      <c r="AC657" t="s">
        <v>238</v>
      </c>
      <c r="AD657" s="2" t="s">
        <v>238</v>
      </c>
      <c r="AE657" s="2" t="s">
        <v>253</v>
      </c>
      <c r="AF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7" s="2" t="str">
        <f>SUBSTITUTE(SUBSTITUTE(PROPERTIES[[#This Row],[PURCHASECOST_VALUE]], "PURCHASECOST_", ""), "_VALUE", "")</f>
        <v>WAGON</v>
      </c>
      <c r="AI657" s="7" t="str" cm="1">
        <f t="array" ref="AI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7" s="43" t="b">
        <v>0</v>
      </c>
      <c r="AK657" s="8" t="b">
        <v>0</v>
      </c>
      <c r="BB657"/>
      <c r="BC657"/>
      <c r="BD657"/>
    </row>
    <row r="658" spans="1:56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5" t="str">
        <f>_xlfn.XLOOKUP(PROPERTIES[[#This Row],[VEHIDCODE]],CONTROL[VEHIDCODE],CONTROL[ENGLISH])</f>
        <v>1st Gen Wooden Open Wagon</v>
      </c>
      <c r="G658" s="45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8">
        <v>6</v>
      </c>
      <c r="R658">
        <v>0</v>
      </c>
      <c r="S658">
        <v>55</v>
      </c>
      <c r="T658" s="25">
        <v>0</v>
      </c>
      <c r="U658" s="24">
        <f>IFERROR(PROPERTIES[[#This Row],[TE_STARTING_KN]]/(PROPERTIES[[#This Row],[WEIGHT]]*9.81),0)</f>
        <v>0</v>
      </c>
      <c r="V658" s="24">
        <v>0.3</v>
      </c>
      <c r="W658" s="21">
        <f>ROUND(IF(IFERROR(PROPERTIES[[#This Row],[TE_COEFFICIENT_CALC]],0)=0,PROPERTIES[[#This Row],[TE_COEFFICIENT_MANUAL]],PROPERTIES[[#This Row],[TE_COEFFICIENT_CALC]]),3)</f>
        <v>0.3</v>
      </c>
      <c r="X658" s="9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1">
        <v>0</v>
      </c>
      <c r="Z658" s="7">
        <v>0</v>
      </c>
      <c r="AA658" t="s">
        <v>250</v>
      </c>
      <c r="AB658" t="s">
        <v>238</v>
      </c>
      <c r="AC658" t="s">
        <v>238</v>
      </c>
      <c r="AD658" s="2" t="s">
        <v>238</v>
      </c>
      <c r="AE658" s="2" t="s">
        <v>253</v>
      </c>
      <c r="AF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8" s="2" t="str">
        <f>SUBSTITUTE(SUBSTITUTE(PROPERTIES[[#This Row],[PURCHASECOST_VALUE]], "PURCHASECOST_", ""), "_VALUE", "")</f>
        <v>WAGON</v>
      </c>
      <c r="AI658" s="7" t="str" cm="1">
        <f t="array" ref="AI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8" s="43" t="b">
        <v>0</v>
      </c>
      <c r="AK658" s="8" t="b">
        <v>0</v>
      </c>
      <c r="BB658"/>
      <c r="BC658"/>
      <c r="BD658"/>
    </row>
    <row r="659" spans="1:56">
      <c r="A659" s="2" t="s">
        <v>162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5" t="str">
        <f>_xlfn.XLOOKUP(PROPERTIES[[#This Row],[VEHIDCODE]],CONTROL[VEHIDCODE],CONTROL[ENGLISH])</f>
        <v>2nd Gen Flat Wagon</v>
      </c>
      <c r="G659" s="45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8">
        <v>11</v>
      </c>
      <c r="R659">
        <v>0</v>
      </c>
      <c r="S659">
        <v>70</v>
      </c>
      <c r="T659" s="25">
        <v>0</v>
      </c>
      <c r="U659" s="24">
        <f>IFERROR(PROPERTIES[[#This Row],[TE_STARTING_KN]]/(PROPERTIES[[#This Row],[WEIGHT]]*9.81),0)</f>
        <v>0</v>
      </c>
      <c r="V659" s="24">
        <v>0.3</v>
      </c>
      <c r="W659" s="21">
        <f>ROUND(IF(IFERROR(PROPERTIES[[#This Row],[TE_COEFFICIENT_CALC]],0)=0,PROPERTIES[[#This Row],[TE_COEFFICIENT_MANUAL]],PROPERTIES[[#This Row],[TE_COEFFICIENT_CALC]]),3)</f>
        <v>0.3</v>
      </c>
      <c r="X659" s="9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1">
        <v>0</v>
      </c>
      <c r="Z659" s="7">
        <v>0</v>
      </c>
      <c r="AA659" t="s">
        <v>250</v>
      </c>
      <c r="AB659" t="s">
        <v>238</v>
      </c>
      <c r="AC659" t="s">
        <v>238</v>
      </c>
      <c r="AD659" s="2" t="s">
        <v>238</v>
      </c>
      <c r="AE659" s="2" t="s">
        <v>253</v>
      </c>
      <c r="AF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9" s="2" t="str">
        <f>SUBSTITUTE(SUBSTITUTE(PROPERTIES[[#This Row],[PURCHASECOST_VALUE]], "PURCHASECOST_", ""), "_VALUE", "")</f>
        <v>WAGON</v>
      </c>
      <c r="AI659" s="7" t="str" cm="1">
        <f t="array" ref="AI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9" s="43" t="b">
        <v>0</v>
      </c>
      <c r="AK659" s="8" t="b">
        <v>0</v>
      </c>
      <c r="BB659"/>
      <c r="BC659"/>
      <c r="BD659"/>
    </row>
    <row r="660" spans="1:56">
      <c r="A660" s="2" t="s">
        <v>163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5" t="str">
        <f>_xlfn.XLOOKUP(PROPERTIES[[#This Row],[VEHIDCODE]],CONTROL[VEHIDCODE],CONTROL[ENGLISH])</f>
        <v>2nd Gen Wooden Box Van [Food]</v>
      </c>
      <c r="G660" s="45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1714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8">
        <v>12</v>
      </c>
      <c r="R660">
        <v>0</v>
      </c>
      <c r="S660">
        <v>90</v>
      </c>
      <c r="T660" s="25">
        <v>0</v>
      </c>
      <c r="U660" s="24">
        <f>IFERROR(PROPERTIES[[#This Row],[TE_STARTING_KN]]/(PROPERTIES[[#This Row],[WEIGHT]]*9.81),0)</f>
        <v>0</v>
      </c>
      <c r="V660" s="24">
        <v>0.3</v>
      </c>
      <c r="W660" s="21">
        <f>ROUND(IF(IFERROR(PROPERTIES[[#This Row],[TE_COEFFICIENT_CALC]],0)=0,PROPERTIES[[#This Row],[TE_COEFFICIENT_MANUAL]],PROPERTIES[[#This Row],[TE_COEFFICIENT_CALC]]),3)</f>
        <v>0.3</v>
      </c>
      <c r="X660" s="9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1">
        <v>0</v>
      </c>
      <c r="Z660" s="7">
        <v>0</v>
      </c>
      <c r="AA660" t="s">
        <v>250</v>
      </c>
      <c r="AB660" t="s">
        <v>238</v>
      </c>
      <c r="AC660" t="s">
        <v>238</v>
      </c>
      <c r="AD660" s="2" t="s">
        <v>238</v>
      </c>
      <c r="AE660" s="2" t="s">
        <v>253</v>
      </c>
      <c r="AF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0" s="2" t="str">
        <f>SUBSTITUTE(SUBSTITUTE(PROPERTIES[[#This Row],[PURCHASECOST_VALUE]], "PURCHASECOST_", ""), "_VALUE", "")</f>
        <v>WAGON</v>
      </c>
      <c r="AI660" s="7" t="str" cm="1">
        <f t="array" ref="AI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0" s="43" t="b">
        <v>0</v>
      </c>
      <c r="AK660" s="8" t="b">
        <v>0</v>
      </c>
      <c r="BB660"/>
      <c r="BC660"/>
      <c r="BD660"/>
    </row>
    <row r="661" spans="1:56">
      <c r="A661" s="2" t="s">
        <v>164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5" t="str">
        <f>_xlfn.XLOOKUP(PROPERTIES[[#This Row],[VEHIDCODE]],CONTROL[VEHIDCODE],CONTROL[ENGLISH])</f>
        <v>2nd Gen Wooden Box Van [Non-Food]</v>
      </c>
      <c r="G661" s="45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1717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8">
        <v>12</v>
      </c>
      <c r="R661">
        <v>0</v>
      </c>
      <c r="S661">
        <v>90</v>
      </c>
      <c r="T661" s="25">
        <v>0</v>
      </c>
      <c r="U661" s="24">
        <f>IFERROR(PROPERTIES[[#This Row],[TE_STARTING_KN]]/(PROPERTIES[[#This Row],[WEIGHT]]*9.81),0)</f>
        <v>0</v>
      </c>
      <c r="V661" s="24">
        <v>0.3</v>
      </c>
      <c r="W661" s="21">
        <f>ROUND(IF(IFERROR(PROPERTIES[[#This Row],[TE_COEFFICIENT_CALC]],0)=0,PROPERTIES[[#This Row],[TE_COEFFICIENT_MANUAL]],PROPERTIES[[#This Row],[TE_COEFFICIENT_CALC]]),3)</f>
        <v>0.3</v>
      </c>
      <c r="X661" s="9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1">
        <v>0</v>
      </c>
      <c r="Z661" s="7">
        <v>0</v>
      </c>
      <c r="AA661" t="s">
        <v>250</v>
      </c>
      <c r="AB661" t="s">
        <v>238</v>
      </c>
      <c r="AC661" t="s">
        <v>238</v>
      </c>
      <c r="AD661" s="2" t="s">
        <v>238</v>
      </c>
      <c r="AE661" s="2" t="s">
        <v>253</v>
      </c>
      <c r="AF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1" s="2" t="str">
        <f>SUBSTITUTE(SUBSTITUTE(PROPERTIES[[#This Row],[PURCHASECOST_VALUE]], "PURCHASECOST_", ""), "_VALUE", "")</f>
        <v>WAGON</v>
      </c>
      <c r="AI661" s="7" t="str" cm="1">
        <f t="array" ref="AI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1" s="43" t="b">
        <v>0</v>
      </c>
      <c r="AK661" s="8" t="b">
        <v>0</v>
      </c>
      <c r="BB661"/>
      <c r="BC661"/>
      <c r="BD661"/>
    </row>
    <row r="662" spans="1:56">
      <c r="A662" s="2" t="s">
        <v>165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5" t="str">
        <f>_xlfn.XLOOKUP(PROPERTIES[[#This Row],[VEHIDCODE]],CONTROL[VEHIDCODE],CONTROL[ENGLISH])</f>
        <v>2nd Gen Tanker</v>
      </c>
      <c r="G662" s="45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8">
        <v>14</v>
      </c>
      <c r="R662">
        <v>0</v>
      </c>
      <c r="S662">
        <v>70</v>
      </c>
      <c r="T662" s="25">
        <v>0</v>
      </c>
      <c r="U662" s="24">
        <f>IFERROR(PROPERTIES[[#This Row],[TE_STARTING_KN]]/(PROPERTIES[[#This Row],[WEIGHT]]*9.81),0)</f>
        <v>0</v>
      </c>
      <c r="V662" s="24">
        <v>0.3</v>
      </c>
      <c r="W662" s="21">
        <f>ROUND(IF(IFERROR(PROPERTIES[[#This Row],[TE_COEFFICIENT_CALC]],0)=0,PROPERTIES[[#This Row],[TE_COEFFICIENT_MANUAL]],PROPERTIES[[#This Row],[TE_COEFFICIENT_CALC]]),3)</f>
        <v>0.3</v>
      </c>
      <c r="X662" s="9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1">
        <v>0</v>
      </c>
      <c r="Z662" s="7">
        <v>0</v>
      </c>
      <c r="AA662" t="s">
        <v>250</v>
      </c>
      <c r="AB662" t="s">
        <v>238</v>
      </c>
      <c r="AC662" t="s">
        <v>238</v>
      </c>
      <c r="AD662" s="2" t="s">
        <v>238</v>
      </c>
      <c r="AE662" s="2" t="s">
        <v>253</v>
      </c>
      <c r="AF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2" s="2" t="str">
        <f>SUBSTITUTE(SUBSTITUTE(PROPERTIES[[#This Row],[PURCHASECOST_VALUE]], "PURCHASECOST_", ""), "_VALUE", "")</f>
        <v>WAGON</v>
      </c>
      <c r="AI662" s="7" t="str" cm="1">
        <f t="array" ref="AI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2" s="43" t="b">
        <v>0</v>
      </c>
      <c r="AK662" s="8" t="b">
        <v>0</v>
      </c>
      <c r="BB662"/>
      <c r="BC662"/>
      <c r="BD662"/>
    </row>
    <row r="663" spans="1:56">
      <c r="A663" s="2" t="s">
        <v>166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5" t="str">
        <f>_xlfn.XLOOKUP(PROPERTIES[[#This Row],[VEHIDCODE]],CONTROL[VEHIDCODE],CONTROL[ENGLISH])</f>
        <v>2nd Gen Wooden Open Wagon</v>
      </c>
      <c r="G663" s="45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8">
        <v>11</v>
      </c>
      <c r="R663">
        <v>0</v>
      </c>
      <c r="S663">
        <v>70</v>
      </c>
      <c r="T663" s="25">
        <v>0</v>
      </c>
      <c r="U663" s="24">
        <f>IFERROR(PROPERTIES[[#This Row],[TE_STARTING_KN]]/(PROPERTIES[[#This Row],[WEIGHT]]*9.81),0)</f>
        <v>0</v>
      </c>
      <c r="V663" s="24">
        <v>0.3</v>
      </c>
      <c r="W663" s="21">
        <f>ROUND(IF(IFERROR(PROPERTIES[[#This Row],[TE_COEFFICIENT_CALC]],0)=0,PROPERTIES[[#This Row],[TE_COEFFICIENT_MANUAL]],PROPERTIES[[#This Row],[TE_COEFFICIENT_CALC]]),3)</f>
        <v>0.3</v>
      </c>
      <c r="X663" s="9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1">
        <v>0</v>
      </c>
      <c r="Z663" s="7">
        <v>0</v>
      </c>
      <c r="AA663" t="s">
        <v>250</v>
      </c>
      <c r="AB663" t="s">
        <v>238</v>
      </c>
      <c r="AC663" t="s">
        <v>238</v>
      </c>
      <c r="AD663" s="2" t="s">
        <v>238</v>
      </c>
      <c r="AE663" s="2" t="s">
        <v>253</v>
      </c>
      <c r="AF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3" s="2" t="str">
        <f>SUBSTITUTE(SUBSTITUTE(PROPERTIES[[#This Row],[PURCHASECOST_VALUE]], "PURCHASECOST_", ""), "_VALUE", "")</f>
        <v>WAGON</v>
      </c>
      <c r="AI663" s="7" t="str" cm="1">
        <f t="array" ref="AI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3" s="43" t="b">
        <v>0</v>
      </c>
      <c r="AK663" s="8" t="b">
        <v>0</v>
      </c>
      <c r="BB663"/>
      <c r="BC663"/>
      <c r="BD663"/>
    </row>
    <row r="664" spans="1:56">
      <c r="A664" s="2" t="s">
        <v>167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5" t="str">
        <f>_xlfn.XLOOKUP(PROPERTIES[[#This Row],[VEHIDCODE]],CONTROL[VEHIDCODE],CONTROL[ENGLISH])</f>
        <v>2nd Gen Silo</v>
      </c>
      <c r="G664" s="45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8">
        <v>14</v>
      </c>
      <c r="R664">
        <v>0</v>
      </c>
      <c r="S664">
        <v>70</v>
      </c>
      <c r="T664" s="25">
        <v>0</v>
      </c>
      <c r="U664" s="24">
        <f>IFERROR(PROPERTIES[[#This Row],[TE_STARTING_KN]]/(PROPERTIES[[#This Row],[WEIGHT]]*9.81),0)</f>
        <v>0</v>
      </c>
      <c r="V664" s="24">
        <v>0.3</v>
      </c>
      <c r="W664" s="21">
        <f>ROUND(IF(IFERROR(PROPERTIES[[#This Row],[TE_COEFFICIENT_CALC]],0)=0,PROPERTIES[[#This Row],[TE_COEFFICIENT_MANUAL]],PROPERTIES[[#This Row],[TE_COEFFICIENT_CALC]]),3)</f>
        <v>0.3</v>
      </c>
      <c r="X664" s="9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1">
        <v>0</v>
      </c>
      <c r="Z664" s="7">
        <v>0</v>
      </c>
      <c r="AA664" t="s">
        <v>250</v>
      </c>
      <c r="AB664" t="s">
        <v>238</v>
      </c>
      <c r="AC664" t="s">
        <v>238</v>
      </c>
      <c r="AD664" s="2" t="s">
        <v>238</v>
      </c>
      <c r="AE664" s="2" t="s">
        <v>253</v>
      </c>
      <c r="AF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4" s="2" t="str">
        <f>SUBSTITUTE(SUBSTITUTE(PROPERTIES[[#This Row],[PURCHASECOST_VALUE]], "PURCHASECOST_", ""), "_VALUE", "")</f>
        <v>WAGON</v>
      </c>
      <c r="AI664" s="7" t="str" cm="1">
        <f t="array" ref="AI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4" s="43" t="b">
        <v>0</v>
      </c>
      <c r="AK664" s="8" t="b">
        <v>0</v>
      </c>
      <c r="BB664"/>
      <c r="BC664"/>
      <c r="BD664"/>
    </row>
    <row r="665" spans="1:56">
      <c r="A665" s="2" t="s">
        <v>168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5" t="str">
        <f>_xlfn.XLOOKUP(PROPERTIES[[#This Row],[VEHIDCODE]],CONTROL[VEHIDCODE],CONTROL[ENGLISH])</f>
        <v>2nd Gen Wooden Hopper</v>
      </c>
      <c r="G665" s="45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8">
        <v>12</v>
      </c>
      <c r="R665">
        <v>0</v>
      </c>
      <c r="S665">
        <v>70</v>
      </c>
      <c r="T665" s="25">
        <v>0</v>
      </c>
      <c r="U665" s="24">
        <f>IFERROR(PROPERTIES[[#This Row],[TE_STARTING_KN]]/(PROPERTIES[[#This Row],[WEIGHT]]*9.81),0)</f>
        <v>0</v>
      </c>
      <c r="V665" s="24">
        <v>0.3</v>
      </c>
      <c r="W665" s="21">
        <f>ROUND(IF(IFERROR(PROPERTIES[[#This Row],[TE_COEFFICIENT_CALC]],0)=0,PROPERTIES[[#This Row],[TE_COEFFICIENT_MANUAL]],PROPERTIES[[#This Row],[TE_COEFFICIENT_CALC]]),3)</f>
        <v>0.3</v>
      </c>
      <c r="X665" s="9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1">
        <v>0</v>
      </c>
      <c r="Z665" s="7">
        <v>0</v>
      </c>
      <c r="AA665" t="s">
        <v>250</v>
      </c>
      <c r="AB665" t="s">
        <v>238</v>
      </c>
      <c r="AC665" t="s">
        <v>238</v>
      </c>
      <c r="AD665" s="2" t="s">
        <v>238</v>
      </c>
      <c r="AE665" s="2" t="s">
        <v>253</v>
      </c>
      <c r="AF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5" s="2" t="str">
        <f>SUBSTITUTE(SUBSTITUTE(PROPERTIES[[#This Row],[PURCHASECOST_VALUE]], "PURCHASECOST_", ""), "_VALUE", "")</f>
        <v>WAGON</v>
      </c>
      <c r="AI665" s="7" t="str" cm="1">
        <f t="array" ref="AI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5" s="43" t="b">
        <v>0</v>
      </c>
      <c r="AK665" s="8" t="b">
        <v>0</v>
      </c>
      <c r="BB665"/>
      <c r="BC665"/>
      <c r="BD665"/>
    </row>
    <row r="666" spans="1:56">
      <c r="A666" s="2" t="s">
        <v>169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5" t="str">
        <f>_xlfn.XLOOKUP(PROPERTIES[[#This Row],[VEHIDCODE]],CONTROL[VEHIDCODE],CONTROL[ENGLISH])</f>
        <v>3rd Gen Flat Wagon</v>
      </c>
      <c r="G666" s="45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8">
        <v>21</v>
      </c>
      <c r="R666">
        <v>0</v>
      </c>
      <c r="S666">
        <v>80</v>
      </c>
      <c r="T666" s="25">
        <v>0</v>
      </c>
      <c r="U666" s="24">
        <f>IFERROR(PROPERTIES[[#This Row],[TE_STARTING_KN]]/(PROPERTIES[[#This Row],[WEIGHT]]*9.81),0)</f>
        <v>0</v>
      </c>
      <c r="V666" s="24">
        <v>0.3</v>
      </c>
      <c r="W666" s="21">
        <f>ROUND(IF(IFERROR(PROPERTIES[[#This Row],[TE_COEFFICIENT_CALC]],0)=0,PROPERTIES[[#This Row],[TE_COEFFICIENT_MANUAL]],PROPERTIES[[#This Row],[TE_COEFFICIENT_CALC]]),3)</f>
        <v>0.3</v>
      </c>
      <c r="X666" s="9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1">
        <v>0</v>
      </c>
      <c r="Z666" s="7">
        <v>0</v>
      </c>
      <c r="AA666" t="s">
        <v>250</v>
      </c>
      <c r="AB666" t="s">
        <v>238</v>
      </c>
      <c r="AC666" t="s">
        <v>238</v>
      </c>
      <c r="AD666" s="2" t="s">
        <v>238</v>
      </c>
      <c r="AE666" s="2" t="s">
        <v>253</v>
      </c>
      <c r="AF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6" s="2" t="str">
        <f>SUBSTITUTE(SUBSTITUTE(PROPERTIES[[#This Row],[PURCHASECOST_VALUE]], "PURCHASECOST_", ""), "_VALUE", "")</f>
        <v>WAGON</v>
      </c>
      <c r="AI666" s="7" t="str" cm="1">
        <f t="array" ref="AI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6" s="43" t="b">
        <v>0</v>
      </c>
      <c r="AK666" s="8" t="b">
        <v>0</v>
      </c>
      <c r="BB666"/>
      <c r="BC666"/>
      <c r="BD666"/>
    </row>
    <row r="667" spans="1:56">
      <c r="A667" s="2" t="s">
        <v>170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5" t="str">
        <f>_xlfn.XLOOKUP(PROPERTIES[[#This Row],[VEHIDCODE]],CONTROL[VEHIDCODE],CONTROL[ENGLISH])</f>
        <v>3rd Gen Wooden Boxcar [Food]</v>
      </c>
      <c r="G667" s="45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1714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8">
        <v>23</v>
      </c>
      <c r="R667">
        <v>0</v>
      </c>
      <c r="S667">
        <v>100</v>
      </c>
      <c r="T667" s="25">
        <v>0</v>
      </c>
      <c r="U667" s="24">
        <f>IFERROR(PROPERTIES[[#This Row],[TE_STARTING_KN]]/(PROPERTIES[[#This Row],[WEIGHT]]*9.81),0)</f>
        <v>0</v>
      </c>
      <c r="V667" s="24">
        <v>0.3</v>
      </c>
      <c r="W667" s="21">
        <f>ROUND(IF(IFERROR(PROPERTIES[[#This Row],[TE_COEFFICIENT_CALC]],0)=0,PROPERTIES[[#This Row],[TE_COEFFICIENT_MANUAL]],PROPERTIES[[#This Row],[TE_COEFFICIENT_CALC]]),3)</f>
        <v>0.3</v>
      </c>
      <c r="X667" s="9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1">
        <v>0</v>
      </c>
      <c r="Z667" s="7">
        <v>0</v>
      </c>
      <c r="AA667" t="s">
        <v>250</v>
      </c>
      <c r="AB667" t="s">
        <v>238</v>
      </c>
      <c r="AC667" t="s">
        <v>238</v>
      </c>
      <c r="AD667" s="2" t="s">
        <v>238</v>
      </c>
      <c r="AE667" s="2" t="s">
        <v>253</v>
      </c>
      <c r="AF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7" s="2" t="str">
        <f>SUBSTITUTE(SUBSTITUTE(PROPERTIES[[#This Row],[PURCHASECOST_VALUE]], "PURCHASECOST_", ""), "_VALUE", "")</f>
        <v>WAGON</v>
      </c>
      <c r="AI667" s="7" t="str" cm="1">
        <f t="array" ref="AI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7" s="43" t="b">
        <v>0</v>
      </c>
      <c r="AK667" s="8" t="b">
        <v>0</v>
      </c>
      <c r="BB667"/>
      <c r="BC667"/>
      <c r="BD667"/>
    </row>
    <row r="668" spans="1:56">
      <c r="A668" s="2" t="s">
        <v>171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5" t="str">
        <f>_xlfn.XLOOKUP(PROPERTIES[[#This Row],[VEHIDCODE]],CONTROL[VEHIDCODE],CONTROL[ENGLISH])</f>
        <v>3rd Gen Wooden Boxcar [Non-Food]</v>
      </c>
      <c r="G668" s="45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1717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8">
        <v>23</v>
      </c>
      <c r="R668">
        <v>0</v>
      </c>
      <c r="S668">
        <v>100</v>
      </c>
      <c r="T668" s="25">
        <v>0</v>
      </c>
      <c r="U668" s="24">
        <f>IFERROR(PROPERTIES[[#This Row],[TE_STARTING_KN]]/(PROPERTIES[[#This Row],[WEIGHT]]*9.81),0)</f>
        <v>0</v>
      </c>
      <c r="V668" s="24">
        <v>0.3</v>
      </c>
      <c r="W668" s="21">
        <f>ROUND(IF(IFERROR(PROPERTIES[[#This Row],[TE_COEFFICIENT_CALC]],0)=0,PROPERTIES[[#This Row],[TE_COEFFICIENT_MANUAL]],PROPERTIES[[#This Row],[TE_COEFFICIENT_CALC]]),3)</f>
        <v>0.3</v>
      </c>
      <c r="X668" s="9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1">
        <v>0</v>
      </c>
      <c r="Z668" s="7">
        <v>0</v>
      </c>
      <c r="AA668" t="s">
        <v>250</v>
      </c>
      <c r="AB668" t="s">
        <v>238</v>
      </c>
      <c r="AC668" t="s">
        <v>238</v>
      </c>
      <c r="AD668" s="2" t="s">
        <v>238</v>
      </c>
      <c r="AE668" s="2" t="s">
        <v>253</v>
      </c>
      <c r="AF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8" s="2" t="str">
        <f>SUBSTITUTE(SUBSTITUTE(PROPERTIES[[#This Row],[PURCHASECOST_VALUE]], "PURCHASECOST_", ""), "_VALUE", "")</f>
        <v>WAGON</v>
      </c>
      <c r="AI668" s="7" t="str" cm="1">
        <f t="array" ref="AI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8" s="43" t="b">
        <v>0</v>
      </c>
      <c r="AK668" s="8" t="b">
        <v>0</v>
      </c>
      <c r="BB668"/>
      <c r="BC668"/>
      <c r="BD668"/>
    </row>
    <row r="669" spans="1:56">
      <c r="A669" s="2" t="s">
        <v>172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5" t="str">
        <f>_xlfn.XLOOKUP(PROPERTIES[[#This Row],[VEHIDCODE]],CONTROL[VEHIDCODE],CONTROL[ENGLISH])</f>
        <v>3rd Gen Tanker</v>
      </c>
      <c r="G669" s="45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8">
        <v>20</v>
      </c>
      <c r="R669">
        <v>0</v>
      </c>
      <c r="S669">
        <v>80</v>
      </c>
      <c r="T669" s="25">
        <v>0</v>
      </c>
      <c r="U669" s="24">
        <f>IFERROR(PROPERTIES[[#This Row],[TE_STARTING_KN]]/(PROPERTIES[[#This Row],[WEIGHT]]*9.81),0)</f>
        <v>0</v>
      </c>
      <c r="V669" s="24">
        <v>0.3</v>
      </c>
      <c r="W669" s="21">
        <f>ROUND(IF(IFERROR(PROPERTIES[[#This Row],[TE_COEFFICIENT_CALC]],0)=0,PROPERTIES[[#This Row],[TE_COEFFICIENT_MANUAL]],PROPERTIES[[#This Row],[TE_COEFFICIENT_CALC]]),3)</f>
        <v>0.3</v>
      </c>
      <c r="X669" s="9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1">
        <v>0</v>
      </c>
      <c r="Z669" s="7">
        <v>0</v>
      </c>
      <c r="AA669" t="s">
        <v>250</v>
      </c>
      <c r="AB669" t="s">
        <v>238</v>
      </c>
      <c r="AC669" t="s">
        <v>238</v>
      </c>
      <c r="AD669" s="2" t="s">
        <v>238</v>
      </c>
      <c r="AE669" s="2" t="s">
        <v>253</v>
      </c>
      <c r="AF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9" s="2" t="str">
        <f>SUBSTITUTE(SUBSTITUTE(PROPERTIES[[#This Row],[PURCHASECOST_VALUE]], "PURCHASECOST_", ""), "_VALUE", "")</f>
        <v>WAGON</v>
      </c>
      <c r="AI669" s="7" t="str" cm="1">
        <f t="array" ref="AI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9" s="43" t="b">
        <v>0</v>
      </c>
      <c r="AK669" s="8" t="b">
        <v>0</v>
      </c>
      <c r="BB669"/>
      <c r="BC669"/>
      <c r="BD669"/>
    </row>
    <row r="670" spans="1:56">
      <c r="A670" s="2" t="s">
        <v>173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5" t="str">
        <f>_xlfn.XLOOKUP(PROPERTIES[[#This Row],[VEHIDCODE]],CONTROL[VEHIDCODE],CONTROL[ENGLISH])</f>
        <v>3rd Gen Open Wagon</v>
      </c>
      <c r="G670" s="45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8">
        <v>22</v>
      </c>
      <c r="R670">
        <v>0</v>
      </c>
      <c r="S670">
        <v>80</v>
      </c>
      <c r="T670" s="25">
        <v>0</v>
      </c>
      <c r="U670" s="24">
        <f>IFERROR(PROPERTIES[[#This Row],[TE_STARTING_KN]]/(PROPERTIES[[#This Row],[WEIGHT]]*9.81),0)</f>
        <v>0</v>
      </c>
      <c r="V670" s="24">
        <v>0.3</v>
      </c>
      <c r="W670" s="21">
        <f>ROUND(IF(IFERROR(PROPERTIES[[#This Row],[TE_COEFFICIENT_CALC]],0)=0,PROPERTIES[[#This Row],[TE_COEFFICIENT_MANUAL]],PROPERTIES[[#This Row],[TE_COEFFICIENT_CALC]]),3)</f>
        <v>0.3</v>
      </c>
      <c r="X670" s="9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1">
        <v>0</v>
      </c>
      <c r="Z670" s="7">
        <v>0</v>
      </c>
      <c r="AA670" t="s">
        <v>250</v>
      </c>
      <c r="AB670" t="s">
        <v>238</v>
      </c>
      <c r="AC670" t="s">
        <v>238</v>
      </c>
      <c r="AD670" s="2" t="s">
        <v>238</v>
      </c>
      <c r="AE670" s="2" t="s">
        <v>253</v>
      </c>
      <c r="AF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0" s="2" t="str">
        <f>SUBSTITUTE(SUBSTITUTE(PROPERTIES[[#This Row],[PURCHASECOST_VALUE]], "PURCHASECOST_", ""), "_VALUE", "")</f>
        <v>WAGON</v>
      </c>
      <c r="AI670" s="7" t="str" cm="1">
        <f t="array" ref="AI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0" s="43" t="b">
        <v>0</v>
      </c>
      <c r="AK670" s="8" t="b">
        <v>0</v>
      </c>
      <c r="BB670"/>
      <c r="BC670"/>
      <c r="BD670"/>
    </row>
    <row r="671" spans="1:56">
      <c r="A671" s="2" t="s">
        <v>174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5" t="str">
        <f>_xlfn.XLOOKUP(PROPERTIES[[#This Row],[VEHIDCODE]],CONTROL[VEHIDCODE],CONTROL[ENGLISH])</f>
        <v>3rd Gen Silo [Food]</v>
      </c>
      <c r="G671" s="45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1716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8">
        <v>23</v>
      </c>
      <c r="R671">
        <v>0</v>
      </c>
      <c r="S671">
        <v>80</v>
      </c>
      <c r="T671" s="25">
        <v>0</v>
      </c>
      <c r="U671" s="24">
        <f>IFERROR(PROPERTIES[[#This Row],[TE_STARTING_KN]]/(PROPERTIES[[#This Row],[WEIGHT]]*9.81),0)</f>
        <v>0</v>
      </c>
      <c r="V671" s="24">
        <v>0.3</v>
      </c>
      <c r="W671" s="21">
        <f>ROUND(IF(IFERROR(PROPERTIES[[#This Row],[TE_COEFFICIENT_CALC]],0)=0,PROPERTIES[[#This Row],[TE_COEFFICIENT_MANUAL]],PROPERTIES[[#This Row],[TE_COEFFICIENT_CALC]]),3)</f>
        <v>0.3</v>
      </c>
      <c r="X671" s="9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1">
        <v>0</v>
      </c>
      <c r="Z671" s="7">
        <v>0</v>
      </c>
      <c r="AA671" t="s">
        <v>250</v>
      </c>
      <c r="AB671" t="s">
        <v>238</v>
      </c>
      <c r="AC671" t="s">
        <v>238</v>
      </c>
      <c r="AD671" s="2" t="s">
        <v>238</v>
      </c>
      <c r="AE671" s="2" t="s">
        <v>253</v>
      </c>
      <c r="AF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1" s="2" t="str">
        <f>SUBSTITUTE(SUBSTITUTE(PROPERTIES[[#This Row],[PURCHASECOST_VALUE]], "PURCHASECOST_", ""), "_VALUE", "")</f>
        <v>WAGON</v>
      </c>
      <c r="AI671" s="7" t="str" cm="1">
        <f t="array" ref="AI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1" s="43" t="b">
        <v>0</v>
      </c>
      <c r="AK671" s="8" t="b">
        <v>0</v>
      </c>
      <c r="BB671"/>
      <c r="BC671"/>
      <c r="BD671"/>
    </row>
    <row r="672" spans="1:56">
      <c r="A672" s="2" t="s">
        <v>175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5" t="str">
        <f>_xlfn.XLOOKUP(PROPERTIES[[#This Row],[VEHIDCODE]],CONTROL[VEHIDCODE],CONTROL[ENGLISH])</f>
        <v>3rd Gen Silo [Non-Food]</v>
      </c>
      <c r="G672" s="45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1719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8">
        <v>23</v>
      </c>
      <c r="R672">
        <v>0</v>
      </c>
      <c r="S672">
        <v>80</v>
      </c>
      <c r="T672" s="25">
        <v>0</v>
      </c>
      <c r="U672" s="24">
        <f>IFERROR(PROPERTIES[[#This Row],[TE_STARTING_KN]]/(PROPERTIES[[#This Row],[WEIGHT]]*9.81),0)</f>
        <v>0</v>
      </c>
      <c r="V672" s="24">
        <v>0.3</v>
      </c>
      <c r="W672" s="21">
        <f>ROUND(IF(IFERROR(PROPERTIES[[#This Row],[TE_COEFFICIENT_CALC]],0)=0,PROPERTIES[[#This Row],[TE_COEFFICIENT_MANUAL]],PROPERTIES[[#This Row],[TE_COEFFICIENT_CALC]]),3)</f>
        <v>0.3</v>
      </c>
      <c r="X672" s="9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1">
        <v>0</v>
      </c>
      <c r="Z672" s="7">
        <v>0</v>
      </c>
      <c r="AA672" t="s">
        <v>250</v>
      </c>
      <c r="AB672" t="s">
        <v>238</v>
      </c>
      <c r="AC672" t="s">
        <v>238</v>
      </c>
      <c r="AD672" s="2" t="s">
        <v>238</v>
      </c>
      <c r="AE672" s="2" t="s">
        <v>253</v>
      </c>
      <c r="AF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2" s="2" t="str">
        <f>SUBSTITUTE(SUBSTITUTE(PROPERTIES[[#This Row],[PURCHASECOST_VALUE]], "PURCHASECOST_", ""), "_VALUE", "")</f>
        <v>WAGON</v>
      </c>
      <c r="AI672" s="7" t="str" cm="1">
        <f t="array" ref="AI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2" s="43" t="b">
        <v>0</v>
      </c>
      <c r="AK672" s="8" t="b">
        <v>0</v>
      </c>
      <c r="BB672"/>
      <c r="BC672"/>
      <c r="BD672"/>
    </row>
    <row r="673" spans="1:56">
      <c r="A673" s="2" t="s">
        <v>176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5" t="str">
        <f>_xlfn.XLOOKUP(PROPERTIES[[#This Row],[VEHIDCODE]],CONTROL[VEHIDCODE],CONTROL[ENGLISH])</f>
        <v>3rd Gen Hopper</v>
      </c>
      <c r="G673" s="45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8">
        <v>26</v>
      </c>
      <c r="R673">
        <v>0</v>
      </c>
      <c r="S673">
        <v>80</v>
      </c>
      <c r="T673" s="25">
        <v>0</v>
      </c>
      <c r="U673" s="24">
        <f>IFERROR(PROPERTIES[[#This Row],[TE_STARTING_KN]]/(PROPERTIES[[#This Row],[WEIGHT]]*9.81),0)</f>
        <v>0</v>
      </c>
      <c r="V673" s="24">
        <v>0.3</v>
      </c>
      <c r="W673" s="21">
        <f>ROUND(IF(IFERROR(PROPERTIES[[#This Row],[TE_COEFFICIENT_CALC]],0)=0,PROPERTIES[[#This Row],[TE_COEFFICIENT_MANUAL]],PROPERTIES[[#This Row],[TE_COEFFICIENT_CALC]]),3)</f>
        <v>0.3</v>
      </c>
      <c r="X673" s="9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1">
        <v>0</v>
      </c>
      <c r="Z673" s="7">
        <v>0</v>
      </c>
      <c r="AA673" t="s">
        <v>250</v>
      </c>
      <c r="AB673" t="s">
        <v>238</v>
      </c>
      <c r="AC673" t="s">
        <v>238</v>
      </c>
      <c r="AD673" s="2" t="s">
        <v>238</v>
      </c>
      <c r="AE673" s="2" t="s">
        <v>253</v>
      </c>
      <c r="AF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3" s="2" t="str">
        <f>SUBSTITUTE(SUBSTITUTE(PROPERTIES[[#This Row],[PURCHASECOST_VALUE]], "PURCHASECOST_", ""), "_VALUE", "")</f>
        <v>WAGON</v>
      </c>
      <c r="AI673" s="7" t="str" cm="1">
        <f t="array" ref="AI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3" s="43" t="b">
        <v>0</v>
      </c>
      <c r="AK673" s="8" t="b">
        <v>0</v>
      </c>
      <c r="BB673"/>
      <c r="BC673"/>
      <c r="BD673"/>
    </row>
    <row r="674" spans="1:56">
      <c r="A674" s="2" t="s">
        <v>177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5" t="str">
        <f>_xlfn.XLOOKUP(PROPERTIES[[#This Row],[VEHIDCODE]],CONTROL[VEHIDCODE],CONTROL[ENGLISH])</f>
        <v>4th Gen Flatcar</v>
      </c>
      <c r="G674" s="45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8">
        <v>25</v>
      </c>
      <c r="R674">
        <v>0</v>
      </c>
      <c r="S674">
        <v>100</v>
      </c>
      <c r="T674" s="25">
        <v>0</v>
      </c>
      <c r="U674" s="24">
        <f>IFERROR(PROPERTIES[[#This Row],[TE_STARTING_KN]]/(PROPERTIES[[#This Row],[WEIGHT]]*9.81),0)</f>
        <v>0</v>
      </c>
      <c r="V674" s="24">
        <v>0.3</v>
      </c>
      <c r="W674" s="21">
        <f>ROUND(IF(IFERROR(PROPERTIES[[#This Row],[TE_COEFFICIENT_CALC]],0)=0,PROPERTIES[[#This Row],[TE_COEFFICIENT_MANUAL]],PROPERTIES[[#This Row],[TE_COEFFICIENT_CALC]]),3)</f>
        <v>0.3</v>
      </c>
      <c r="X674" s="9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1">
        <v>0</v>
      </c>
      <c r="Z674" s="7">
        <v>0</v>
      </c>
      <c r="AA674" t="s">
        <v>250</v>
      </c>
      <c r="AB674" t="s">
        <v>238</v>
      </c>
      <c r="AC674" t="s">
        <v>238</v>
      </c>
      <c r="AD674" s="2" t="s">
        <v>238</v>
      </c>
      <c r="AE674" s="2" t="s">
        <v>253</v>
      </c>
      <c r="AF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4" s="2" t="str">
        <f>SUBSTITUTE(SUBSTITUTE(PROPERTIES[[#This Row],[PURCHASECOST_VALUE]], "PURCHASECOST_", ""), "_VALUE", "")</f>
        <v>WAGON</v>
      </c>
      <c r="AI674" s="7" t="str" cm="1">
        <f t="array" ref="AI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4" s="43" t="b">
        <v>0</v>
      </c>
      <c r="AK674" s="8" t="b">
        <v>0</v>
      </c>
      <c r="BB674"/>
      <c r="BC674"/>
      <c r="BD674"/>
    </row>
    <row r="675" spans="1:56">
      <c r="A675" s="2" t="s">
        <v>178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5" t="str">
        <f>_xlfn.XLOOKUP(PROPERTIES[[#This Row],[VEHIDCODE]],CONTROL[VEHIDCODE],CONTROL[ENGLISH])</f>
        <v>4th Gen Heavy Flatcar</v>
      </c>
      <c r="G675" s="45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8">
        <v>30</v>
      </c>
      <c r="R675">
        <v>0</v>
      </c>
      <c r="S675">
        <v>100</v>
      </c>
      <c r="T675" s="25">
        <v>0</v>
      </c>
      <c r="U675" s="24">
        <f>IFERROR(PROPERTIES[[#This Row],[TE_STARTING_KN]]/(PROPERTIES[[#This Row],[WEIGHT]]*9.81),0)</f>
        <v>0</v>
      </c>
      <c r="V675" s="24">
        <v>0.3</v>
      </c>
      <c r="W675" s="21">
        <f>ROUND(IF(IFERROR(PROPERTIES[[#This Row],[TE_COEFFICIENT_CALC]],0)=0,PROPERTIES[[#This Row],[TE_COEFFICIENT_MANUAL]],PROPERTIES[[#This Row],[TE_COEFFICIENT_CALC]]),3)</f>
        <v>0.3</v>
      </c>
      <c r="X675" s="9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1">
        <v>0</v>
      </c>
      <c r="Z675" s="7">
        <v>0</v>
      </c>
      <c r="AA675" t="s">
        <v>250</v>
      </c>
      <c r="AB675" t="s">
        <v>238</v>
      </c>
      <c r="AC675" t="s">
        <v>238</v>
      </c>
      <c r="AD675" s="2" t="s">
        <v>238</v>
      </c>
      <c r="AE675" s="2" t="s">
        <v>253</v>
      </c>
      <c r="AF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5" s="2" t="str">
        <f>SUBSTITUTE(SUBSTITUTE(PROPERTIES[[#This Row],[PURCHASECOST_VALUE]], "PURCHASECOST_", ""), "_VALUE", "")</f>
        <v>WAGON</v>
      </c>
      <c r="AI675" s="7" t="str" cm="1">
        <f t="array" ref="AI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5" s="43" t="b">
        <v>0</v>
      </c>
      <c r="AK675" s="8" t="b">
        <v>0</v>
      </c>
      <c r="BB675"/>
      <c r="BC675"/>
      <c r="BD675"/>
    </row>
    <row r="676" spans="1:56">
      <c r="A676" s="2" t="s">
        <v>179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5" t="str">
        <f>_xlfn.XLOOKUP(PROPERTIES[[#This Row],[VEHIDCODE]],CONTROL[VEHIDCODE],CONTROL[ENGLISH])</f>
        <v>4th Gen Boxcar [Food]</v>
      </c>
      <c r="G676" s="45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1714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8">
        <v>30</v>
      </c>
      <c r="R676">
        <v>0</v>
      </c>
      <c r="S676">
        <v>120</v>
      </c>
      <c r="T676" s="25">
        <v>0</v>
      </c>
      <c r="U676" s="24">
        <f>IFERROR(PROPERTIES[[#This Row],[TE_STARTING_KN]]/(PROPERTIES[[#This Row],[WEIGHT]]*9.81),0)</f>
        <v>0</v>
      </c>
      <c r="V676" s="24">
        <v>0.3</v>
      </c>
      <c r="W676" s="21">
        <f>ROUND(IF(IFERROR(PROPERTIES[[#This Row],[TE_COEFFICIENT_CALC]],0)=0,PROPERTIES[[#This Row],[TE_COEFFICIENT_MANUAL]],PROPERTIES[[#This Row],[TE_COEFFICIENT_CALC]]),3)</f>
        <v>0.3</v>
      </c>
      <c r="X676" s="9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1">
        <v>0</v>
      </c>
      <c r="Z676" s="7">
        <v>0</v>
      </c>
      <c r="AA676" t="s">
        <v>250</v>
      </c>
      <c r="AB676" t="s">
        <v>238</v>
      </c>
      <c r="AC676" t="s">
        <v>238</v>
      </c>
      <c r="AD676" s="2" t="s">
        <v>238</v>
      </c>
      <c r="AE676" s="2" t="s">
        <v>253</v>
      </c>
      <c r="AF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6" s="2" t="str">
        <f>SUBSTITUTE(SUBSTITUTE(PROPERTIES[[#This Row],[PURCHASECOST_VALUE]], "PURCHASECOST_", ""), "_VALUE", "")</f>
        <v>WAGON</v>
      </c>
      <c r="AI676" s="7" t="str" cm="1">
        <f t="array" ref="AI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6" s="43" t="b">
        <v>0</v>
      </c>
      <c r="AK676" s="8" t="b">
        <v>0</v>
      </c>
      <c r="BB676"/>
      <c r="BC676"/>
      <c r="BD676"/>
    </row>
    <row r="677" spans="1:56">
      <c r="A677" s="2" t="s">
        <v>180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5" t="str">
        <f>_xlfn.XLOOKUP(PROPERTIES[[#This Row],[VEHIDCODE]],CONTROL[VEHIDCODE],CONTROL[ENGLISH])</f>
        <v>4th Gen Boxcar [Non-Food]</v>
      </c>
      <c r="G677" s="45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1717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8">
        <v>30</v>
      </c>
      <c r="R677">
        <v>0</v>
      </c>
      <c r="S677">
        <v>120</v>
      </c>
      <c r="T677" s="25">
        <v>0</v>
      </c>
      <c r="U677" s="24">
        <f>IFERROR(PROPERTIES[[#This Row],[TE_STARTING_KN]]/(PROPERTIES[[#This Row],[WEIGHT]]*9.81),0)</f>
        <v>0</v>
      </c>
      <c r="V677" s="24">
        <v>0.3</v>
      </c>
      <c r="W677" s="21">
        <f>ROUND(IF(IFERROR(PROPERTIES[[#This Row],[TE_COEFFICIENT_CALC]],0)=0,PROPERTIES[[#This Row],[TE_COEFFICIENT_MANUAL]],PROPERTIES[[#This Row],[TE_COEFFICIENT_CALC]]),3)</f>
        <v>0.3</v>
      </c>
      <c r="X677" s="9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1">
        <v>0</v>
      </c>
      <c r="Z677" s="7">
        <v>0</v>
      </c>
      <c r="AA677" t="s">
        <v>250</v>
      </c>
      <c r="AB677" t="s">
        <v>238</v>
      </c>
      <c r="AC677" t="s">
        <v>238</v>
      </c>
      <c r="AD677" s="2" t="s">
        <v>238</v>
      </c>
      <c r="AE677" s="2" t="s">
        <v>253</v>
      </c>
      <c r="AF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7" s="2" t="str">
        <f>SUBSTITUTE(SUBSTITUTE(PROPERTIES[[#This Row],[PURCHASECOST_VALUE]], "PURCHASECOST_", ""), "_VALUE", "")</f>
        <v>WAGON</v>
      </c>
      <c r="AI677" s="7" t="str" cm="1">
        <f t="array" ref="AI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7" s="43" t="b">
        <v>0</v>
      </c>
      <c r="AK677" s="8" t="b">
        <v>0</v>
      </c>
      <c r="BB677"/>
      <c r="BC677"/>
      <c r="BD677"/>
    </row>
    <row r="678" spans="1:56">
      <c r="A678" s="2" t="s">
        <v>181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5" t="str">
        <f>_xlfn.XLOOKUP(PROPERTIES[[#This Row],[VEHIDCODE]],CONTROL[VEHIDCODE],CONTROL[ENGLISH])</f>
        <v>4th Gen Tanker</v>
      </c>
      <c r="G678" s="45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8">
        <v>22</v>
      </c>
      <c r="R678">
        <v>0</v>
      </c>
      <c r="S678">
        <v>100</v>
      </c>
      <c r="T678" s="25">
        <v>0</v>
      </c>
      <c r="U678" s="24">
        <f>IFERROR(PROPERTIES[[#This Row],[TE_STARTING_KN]]/(PROPERTIES[[#This Row],[WEIGHT]]*9.81),0)</f>
        <v>0</v>
      </c>
      <c r="V678" s="24">
        <v>0.3</v>
      </c>
      <c r="W678" s="21">
        <f>ROUND(IF(IFERROR(PROPERTIES[[#This Row],[TE_COEFFICIENT_CALC]],0)=0,PROPERTIES[[#This Row],[TE_COEFFICIENT_MANUAL]],PROPERTIES[[#This Row],[TE_COEFFICIENT_CALC]]),3)</f>
        <v>0.3</v>
      </c>
      <c r="X678" s="9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1">
        <v>0</v>
      </c>
      <c r="Z678" s="7">
        <v>0</v>
      </c>
      <c r="AA678" t="s">
        <v>250</v>
      </c>
      <c r="AB678" t="s">
        <v>238</v>
      </c>
      <c r="AC678" t="s">
        <v>238</v>
      </c>
      <c r="AD678" s="2" t="s">
        <v>238</v>
      </c>
      <c r="AE678" s="2" t="s">
        <v>253</v>
      </c>
      <c r="AF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8" s="2" t="str">
        <f>SUBSTITUTE(SUBSTITUTE(PROPERTIES[[#This Row],[PURCHASECOST_VALUE]], "PURCHASECOST_", ""), "_VALUE", "")</f>
        <v>WAGON</v>
      </c>
      <c r="AI678" s="7" t="str" cm="1">
        <f t="array" ref="AI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8" s="43" t="b">
        <v>0</v>
      </c>
      <c r="AK678" s="8" t="b">
        <v>0</v>
      </c>
      <c r="BB678"/>
      <c r="BC678"/>
      <c r="BD678"/>
    </row>
    <row r="679" spans="1:56">
      <c r="A679" s="2" t="s">
        <v>182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5" t="str">
        <f>_xlfn.XLOOKUP(PROPERTIES[[#This Row],[VEHIDCODE]],CONTROL[VEHIDCODE],CONTROL[ENGLISH])</f>
        <v>4th Gen Gondola</v>
      </c>
      <c r="G679" s="45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8">
        <v>22</v>
      </c>
      <c r="R679">
        <v>0</v>
      </c>
      <c r="S679">
        <v>100</v>
      </c>
      <c r="T679" s="25">
        <v>0</v>
      </c>
      <c r="U679" s="24">
        <f>IFERROR(PROPERTIES[[#This Row],[TE_STARTING_KN]]/(PROPERTIES[[#This Row],[WEIGHT]]*9.81),0)</f>
        <v>0</v>
      </c>
      <c r="V679" s="24">
        <v>0.3</v>
      </c>
      <c r="W679" s="21">
        <f>ROUND(IF(IFERROR(PROPERTIES[[#This Row],[TE_COEFFICIENT_CALC]],0)=0,PROPERTIES[[#This Row],[TE_COEFFICIENT_MANUAL]],PROPERTIES[[#This Row],[TE_COEFFICIENT_CALC]]),3)</f>
        <v>0.3</v>
      </c>
      <c r="X679" s="9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1">
        <v>0</v>
      </c>
      <c r="Z679" s="7">
        <v>0</v>
      </c>
      <c r="AA679" t="s">
        <v>250</v>
      </c>
      <c r="AB679" t="s">
        <v>238</v>
      </c>
      <c r="AC679" t="s">
        <v>238</v>
      </c>
      <c r="AD679" s="2" t="s">
        <v>238</v>
      </c>
      <c r="AE679" s="2" t="s">
        <v>253</v>
      </c>
      <c r="AF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9" s="2" t="str">
        <f>SUBSTITUTE(SUBSTITUTE(PROPERTIES[[#This Row],[PURCHASECOST_VALUE]], "PURCHASECOST_", ""), "_VALUE", "")</f>
        <v>WAGON</v>
      </c>
      <c r="AI679" s="7" t="str" cm="1">
        <f t="array" ref="AI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9" s="43" t="b">
        <v>0</v>
      </c>
      <c r="AK679" s="8" t="b">
        <v>0</v>
      </c>
      <c r="BB679"/>
      <c r="BC679"/>
      <c r="BD679"/>
    </row>
    <row r="680" spans="1:56">
      <c r="A680" s="2" t="s">
        <v>183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5" t="str">
        <f>_xlfn.XLOOKUP(PROPERTIES[[#This Row],[VEHIDCODE]],CONTROL[VEHIDCODE],CONTROL[ENGLISH])</f>
        <v>4th Gen Silo [Food]</v>
      </c>
      <c r="G680" s="45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1716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8">
        <v>25</v>
      </c>
      <c r="R680">
        <v>0</v>
      </c>
      <c r="S680">
        <v>100</v>
      </c>
      <c r="T680" s="25">
        <v>0</v>
      </c>
      <c r="U680" s="24">
        <f>IFERROR(PROPERTIES[[#This Row],[TE_STARTING_KN]]/(PROPERTIES[[#This Row],[WEIGHT]]*9.81),0)</f>
        <v>0</v>
      </c>
      <c r="V680" s="24">
        <v>0.3</v>
      </c>
      <c r="W680" s="21">
        <f>ROUND(IF(IFERROR(PROPERTIES[[#This Row],[TE_COEFFICIENT_CALC]],0)=0,PROPERTIES[[#This Row],[TE_COEFFICIENT_MANUAL]],PROPERTIES[[#This Row],[TE_COEFFICIENT_CALC]]),3)</f>
        <v>0.3</v>
      </c>
      <c r="X680" s="9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1">
        <v>0</v>
      </c>
      <c r="Z680" s="7">
        <v>0</v>
      </c>
      <c r="AA680" t="s">
        <v>250</v>
      </c>
      <c r="AB680" t="s">
        <v>238</v>
      </c>
      <c r="AC680" t="s">
        <v>238</v>
      </c>
      <c r="AD680" s="2" t="s">
        <v>238</v>
      </c>
      <c r="AE680" s="2" t="s">
        <v>253</v>
      </c>
      <c r="AF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0" s="2" t="str">
        <f>SUBSTITUTE(SUBSTITUTE(PROPERTIES[[#This Row],[PURCHASECOST_VALUE]], "PURCHASECOST_", ""), "_VALUE", "")</f>
        <v>WAGON</v>
      </c>
      <c r="AI680" s="7" t="str" cm="1">
        <f t="array" ref="AI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0" s="43" t="b">
        <v>0</v>
      </c>
      <c r="AK680" s="8" t="b">
        <v>0</v>
      </c>
      <c r="BB680"/>
      <c r="BC680"/>
      <c r="BD680"/>
    </row>
    <row r="681" spans="1:56">
      <c r="A681" s="2" t="s">
        <v>184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5" t="str">
        <f>_xlfn.XLOOKUP(PROPERTIES[[#This Row],[VEHIDCODE]],CONTROL[VEHIDCODE],CONTROL[ENGLISH])</f>
        <v>4th Gen Silo [Non-Food]</v>
      </c>
      <c r="G681" s="45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1719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8">
        <v>25</v>
      </c>
      <c r="R681">
        <v>0</v>
      </c>
      <c r="S681">
        <v>100</v>
      </c>
      <c r="T681" s="25">
        <v>0</v>
      </c>
      <c r="U681" s="24">
        <f>IFERROR(PROPERTIES[[#This Row],[TE_STARTING_KN]]/(PROPERTIES[[#This Row],[WEIGHT]]*9.81),0)</f>
        <v>0</v>
      </c>
      <c r="V681" s="24">
        <v>0.3</v>
      </c>
      <c r="W681" s="21">
        <f>ROUND(IF(IFERROR(PROPERTIES[[#This Row],[TE_COEFFICIENT_CALC]],0)=0,PROPERTIES[[#This Row],[TE_COEFFICIENT_MANUAL]],PROPERTIES[[#This Row],[TE_COEFFICIENT_CALC]]),3)</f>
        <v>0.3</v>
      </c>
      <c r="X681" s="9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1">
        <v>0</v>
      </c>
      <c r="Z681" s="7">
        <v>0</v>
      </c>
      <c r="AA681" t="s">
        <v>250</v>
      </c>
      <c r="AB681" t="s">
        <v>238</v>
      </c>
      <c r="AC681" t="s">
        <v>238</v>
      </c>
      <c r="AD681" s="2" t="s">
        <v>238</v>
      </c>
      <c r="AE681" s="2" t="s">
        <v>253</v>
      </c>
      <c r="AF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1" s="2" t="str">
        <f>SUBSTITUTE(SUBSTITUTE(PROPERTIES[[#This Row],[PURCHASECOST_VALUE]], "PURCHASECOST_", ""), "_VALUE", "")</f>
        <v>WAGON</v>
      </c>
      <c r="AI681" s="7" t="str" cm="1">
        <f t="array" ref="AI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1" s="43" t="b">
        <v>0</v>
      </c>
      <c r="AK681" s="8" t="b">
        <v>0</v>
      </c>
      <c r="BB681"/>
      <c r="BC681"/>
      <c r="BD681"/>
    </row>
    <row r="682" spans="1:56">
      <c r="A682" s="2" t="s">
        <v>185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5" t="str">
        <f>_xlfn.XLOOKUP(PROPERTIES[[#This Row],[VEHIDCODE]],CONTROL[VEHIDCODE],CONTROL[ENGLISH])</f>
        <v>4th Gen Self-discharging Hopper [Food]</v>
      </c>
      <c r="G682" s="45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1715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8">
        <v>25</v>
      </c>
      <c r="R682">
        <v>0</v>
      </c>
      <c r="S682">
        <v>100</v>
      </c>
      <c r="T682" s="25">
        <v>0</v>
      </c>
      <c r="U682" s="24">
        <f>IFERROR(PROPERTIES[[#This Row],[TE_STARTING_KN]]/(PROPERTIES[[#This Row],[WEIGHT]]*9.81),0)</f>
        <v>0</v>
      </c>
      <c r="V682" s="24">
        <v>0.3</v>
      </c>
      <c r="W682" s="21">
        <f>ROUND(IF(IFERROR(PROPERTIES[[#This Row],[TE_COEFFICIENT_CALC]],0)=0,PROPERTIES[[#This Row],[TE_COEFFICIENT_MANUAL]],PROPERTIES[[#This Row],[TE_COEFFICIENT_CALC]]),3)</f>
        <v>0.3</v>
      </c>
      <c r="X682" s="9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1">
        <v>0</v>
      </c>
      <c r="Z682" s="7">
        <v>0</v>
      </c>
      <c r="AA682" t="s">
        <v>250</v>
      </c>
      <c r="AB682" t="s">
        <v>238</v>
      </c>
      <c r="AC682" t="s">
        <v>238</v>
      </c>
      <c r="AD682" s="2" t="s">
        <v>238</v>
      </c>
      <c r="AE682" s="2" t="s">
        <v>253</v>
      </c>
      <c r="AF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2" s="2" t="str">
        <f>SUBSTITUTE(SUBSTITUTE(PROPERTIES[[#This Row],[PURCHASECOST_VALUE]], "PURCHASECOST_", ""), "_VALUE", "")</f>
        <v>WAGON</v>
      </c>
      <c r="AI682" s="7" t="str" cm="1">
        <f t="array" ref="AI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2" s="43" t="b">
        <v>0</v>
      </c>
      <c r="AK682" s="8" t="b">
        <v>0</v>
      </c>
      <c r="BB682"/>
      <c r="BC682"/>
      <c r="BD682"/>
    </row>
    <row r="683" spans="1:56">
      <c r="A683" s="2" t="s">
        <v>186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5" t="str">
        <f>_xlfn.XLOOKUP(PROPERTIES[[#This Row],[VEHIDCODE]],CONTROL[VEHIDCODE],CONTROL[ENGLISH])</f>
        <v>4th Gen Self-discharging Hopper [Non-Food]</v>
      </c>
      <c r="G683" s="45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1718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8">
        <v>25</v>
      </c>
      <c r="R683">
        <v>0</v>
      </c>
      <c r="S683">
        <v>100</v>
      </c>
      <c r="T683" s="25">
        <v>0</v>
      </c>
      <c r="U683" s="24">
        <f>IFERROR(PROPERTIES[[#This Row],[TE_STARTING_KN]]/(PROPERTIES[[#This Row],[WEIGHT]]*9.81),0)</f>
        <v>0</v>
      </c>
      <c r="V683" s="24">
        <v>0.3</v>
      </c>
      <c r="W683" s="21">
        <f>ROUND(IF(IFERROR(PROPERTIES[[#This Row],[TE_COEFFICIENT_CALC]],0)=0,PROPERTIES[[#This Row],[TE_COEFFICIENT_MANUAL]],PROPERTIES[[#This Row],[TE_COEFFICIENT_CALC]]),3)</f>
        <v>0.3</v>
      </c>
      <c r="X683" s="9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1">
        <v>0</v>
      </c>
      <c r="Z683" s="7">
        <v>0</v>
      </c>
      <c r="AA683" t="s">
        <v>250</v>
      </c>
      <c r="AB683" t="s">
        <v>238</v>
      </c>
      <c r="AC683" t="s">
        <v>238</v>
      </c>
      <c r="AD683" s="2" t="s">
        <v>238</v>
      </c>
      <c r="AE683" s="2" t="s">
        <v>253</v>
      </c>
      <c r="AF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3" s="2" t="str">
        <f>SUBSTITUTE(SUBSTITUTE(PROPERTIES[[#This Row],[PURCHASECOST_VALUE]], "PURCHASECOST_", ""), "_VALUE", "")</f>
        <v>WAGON</v>
      </c>
      <c r="AI683" s="7" t="str" cm="1">
        <f t="array" ref="AI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3" s="43" t="b">
        <v>0</v>
      </c>
      <c r="AK683" s="8" t="b">
        <v>0</v>
      </c>
      <c r="BB683"/>
      <c r="BC683"/>
      <c r="BD683"/>
    </row>
    <row r="684" spans="1:56">
      <c r="A684" s="2" t="s">
        <v>187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5" t="str">
        <f>_xlfn.XLOOKUP(PROPERTIES[[#This Row],[VEHIDCODE]],CONTROL[VEHIDCODE],CONTROL[ENGLISH])</f>
        <v>4th Gen Car Transporter</v>
      </c>
      <c r="G684" s="45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8">
        <v>26</v>
      </c>
      <c r="R684">
        <v>0</v>
      </c>
      <c r="S684">
        <v>100</v>
      </c>
      <c r="T684" s="25">
        <v>0</v>
      </c>
      <c r="U684" s="24">
        <f>IFERROR(PROPERTIES[[#This Row],[TE_STARTING_KN]]/(PROPERTIES[[#This Row],[WEIGHT]]*9.81),0)</f>
        <v>0</v>
      </c>
      <c r="V684" s="24">
        <v>0.3</v>
      </c>
      <c r="W684" s="21">
        <f>ROUND(IF(IFERROR(PROPERTIES[[#This Row],[TE_COEFFICIENT_CALC]],0)=0,PROPERTIES[[#This Row],[TE_COEFFICIENT_MANUAL]],PROPERTIES[[#This Row],[TE_COEFFICIENT_CALC]]),3)</f>
        <v>0.3</v>
      </c>
      <c r="X684" s="9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1">
        <v>0</v>
      </c>
      <c r="Z684" s="7">
        <v>0</v>
      </c>
      <c r="AA684" t="s">
        <v>250</v>
      </c>
      <c r="AB684" t="s">
        <v>238</v>
      </c>
      <c r="AC684" t="s">
        <v>238</v>
      </c>
      <c r="AD684" s="2" t="s">
        <v>238</v>
      </c>
      <c r="AE684" s="2" t="s">
        <v>253</v>
      </c>
      <c r="AF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4" s="2" t="str">
        <f>SUBSTITUTE(SUBSTITUTE(PROPERTIES[[#This Row],[PURCHASECOST_VALUE]], "PURCHASECOST_", ""), "_VALUE", "")</f>
        <v>WAGON</v>
      </c>
      <c r="AI684" s="7" t="str" cm="1">
        <f t="array" ref="AI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4" s="43" t="b">
        <v>0</v>
      </c>
      <c r="AK684" s="8" t="b">
        <v>0</v>
      </c>
      <c r="BB684"/>
      <c r="BC684"/>
      <c r="BD684"/>
    </row>
    <row r="685" spans="1:56">
      <c r="A685" s="2" t="s">
        <v>188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5" t="str">
        <f>_xlfn.XLOOKUP(PROPERTIES[[#This Row],[VEHIDCODE]],CONTROL[VEHIDCODE],CONTROL[ENGLISH])</f>
        <v>4th Gen Container Carrier</v>
      </c>
      <c r="G685" s="45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8">
        <v>19</v>
      </c>
      <c r="R685">
        <v>0</v>
      </c>
      <c r="S685">
        <v>120</v>
      </c>
      <c r="T685" s="25">
        <v>0</v>
      </c>
      <c r="U685" s="24">
        <f>IFERROR(PROPERTIES[[#This Row],[TE_STARTING_KN]]/(PROPERTIES[[#This Row],[WEIGHT]]*9.81),0)</f>
        <v>0</v>
      </c>
      <c r="V685" s="24">
        <v>0.3</v>
      </c>
      <c r="W685" s="21">
        <f>ROUND(IF(IFERROR(PROPERTIES[[#This Row],[TE_COEFFICIENT_CALC]],0)=0,PROPERTIES[[#This Row],[TE_COEFFICIENT_MANUAL]],PROPERTIES[[#This Row],[TE_COEFFICIENT_CALC]]),3)</f>
        <v>0.3</v>
      </c>
      <c r="X685" s="9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1">
        <v>0</v>
      </c>
      <c r="Z685" s="7">
        <v>0</v>
      </c>
      <c r="AA685" t="s">
        <v>250</v>
      </c>
      <c r="AB685" t="s">
        <v>238</v>
      </c>
      <c r="AC685" t="s">
        <v>238</v>
      </c>
      <c r="AD685" s="2" t="s">
        <v>238</v>
      </c>
      <c r="AE685" s="2" t="s">
        <v>253</v>
      </c>
      <c r="AF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5" s="2" t="str">
        <f>SUBSTITUTE(SUBSTITUTE(PROPERTIES[[#This Row],[PURCHASECOST_VALUE]], "PURCHASECOST_", ""), "_VALUE", "")</f>
        <v>WAGON</v>
      </c>
      <c r="AI685" s="7" t="str" cm="1">
        <f t="array" ref="AI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5" s="43" t="b">
        <v>0</v>
      </c>
      <c r="AK685" s="8" t="b">
        <v>0</v>
      </c>
      <c r="BB685"/>
      <c r="BC685"/>
      <c r="BD685"/>
    </row>
    <row r="686" spans="1:56">
      <c r="A686" s="2" t="s">
        <v>189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5" t="str">
        <f>_xlfn.XLOOKUP(PROPERTIES[[#This Row],[VEHIDCODE]],CONTROL[VEHIDCODE],CONTROL[ENGLISH])</f>
        <v>4th Gen Centerbeam Flatcar</v>
      </c>
      <c r="G686" s="45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8">
        <v>42</v>
      </c>
      <c r="R686">
        <v>0</v>
      </c>
      <c r="S686">
        <v>100</v>
      </c>
      <c r="T686" s="25">
        <v>0</v>
      </c>
      <c r="U686" s="24">
        <f>IFERROR(PROPERTIES[[#This Row],[TE_STARTING_KN]]/(PROPERTIES[[#This Row],[WEIGHT]]*9.81),0)</f>
        <v>0</v>
      </c>
      <c r="V686" s="24">
        <v>0.3</v>
      </c>
      <c r="W686" s="21">
        <f>ROUND(IF(IFERROR(PROPERTIES[[#This Row],[TE_COEFFICIENT_CALC]],0)=0,PROPERTIES[[#This Row],[TE_COEFFICIENT_MANUAL]],PROPERTIES[[#This Row],[TE_COEFFICIENT_CALC]]),3)</f>
        <v>0.3</v>
      </c>
      <c r="X686" s="9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1">
        <v>0</v>
      </c>
      <c r="Z686" s="7">
        <v>0</v>
      </c>
      <c r="AA686" t="s">
        <v>250</v>
      </c>
      <c r="AB686" t="s">
        <v>238</v>
      </c>
      <c r="AC686" t="s">
        <v>238</v>
      </c>
      <c r="AD686" s="2" t="s">
        <v>238</v>
      </c>
      <c r="AE686" s="2" t="s">
        <v>253</v>
      </c>
      <c r="AF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6" s="2" t="str">
        <f>SUBSTITUTE(SUBSTITUTE(PROPERTIES[[#This Row],[PURCHASECOST_VALUE]], "PURCHASECOST_", ""), "_VALUE", "")</f>
        <v>WAGON</v>
      </c>
      <c r="AI686" s="7" t="str" cm="1">
        <f t="array" ref="AI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6" s="43" t="b">
        <v>0</v>
      </c>
      <c r="AK686" s="8" t="b">
        <v>0</v>
      </c>
      <c r="BB686"/>
      <c r="BC686"/>
      <c r="BD686"/>
    </row>
    <row r="687" spans="1:56">
      <c r="A687" s="2" t="s">
        <v>190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5" t="str">
        <f>_xlfn.XLOOKUP(PROPERTIES[[#This Row],[VEHIDCODE]],CONTROL[VEHIDCODE],CONTROL[ENGLISH])</f>
        <v>5th Gen Flatcar</v>
      </c>
      <c r="G687" s="45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8">
        <v>23</v>
      </c>
      <c r="R687">
        <v>0</v>
      </c>
      <c r="S687">
        <v>120</v>
      </c>
      <c r="T687" s="25">
        <v>0</v>
      </c>
      <c r="U687" s="24">
        <f>IFERROR(PROPERTIES[[#This Row],[TE_STARTING_KN]]/(PROPERTIES[[#This Row],[WEIGHT]]*9.81),0)</f>
        <v>0</v>
      </c>
      <c r="V687" s="24">
        <v>0.3</v>
      </c>
      <c r="W687" s="21">
        <f>ROUND(IF(IFERROR(PROPERTIES[[#This Row],[TE_COEFFICIENT_CALC]],0)=0,PROPERTIES[[#This Row],[TE_COEFFICIENT_MANUAL]],PROPERTIES[[#This Row],[TE_COEFFICIENT_CALC]]),3)</f>
        <v>0.3</v>
      </c>
      <c r="X687" s="9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1">
        <v>0</v>
      </c>
      <c r="Z687" s="7">
        <v>0</v>
      </c>
      <c r="AA687" t="s">
        <v>250</v>
      </c>
      <c r="AB687" t="s">
        <v>238</v>
      </c>
      <c r="AC687" t="s">
        <v>238</v>
      </c>
      <c r="AD687" s="2" t="s">
        <v>238</v>
      </c>
      <c r="AE687" s="2" t="s">
        <v>253</v>
      </c>
      <c r="AF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7" s="2" t="str">
        <f>SUBSTITUTE(SUBSTITUTE(PROPERTIES[[#This Row],[PURCHASECOST_VALUE]], "PURCHASECOST_", ""), "_VALUE", "")</f>
        <v>WAGON</v>
      </c>
      <c r="AI687" s="7" t="str" cm="1">
        <f t="array" ref="AI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7" s="43" t="b">
        <v>0</v>
      </c>
      <c r="AK687" s="8" t="b">
        <v>0</v>
      </c>
      <c r="BB687"/>
      <c r="BC687"/>
      <c r="BD687"/>
    </row>
    <row r="688" spans="1:56">
      <c r="A688" s="2" t="s">
        <v>191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5" t="str">
        <f>_xlfn.XLOOKUP(PROPERTIES[[#This Row],[VEHIDCODE]],CONTROL[VEHIDCODE],CONTROL[ENGLISH])</f>
        <v>5th Gen Heavy Flatcar</v>
      </c>
      <c r="G688" s="45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8">
        <v>42</v>
      </c>
      <c r="R688">
        <v>0</v>
      </c>
      <c r="S688">
        <v>100</v>
      </c>
      <c r="T688" s="25">
        <v>0</v>
      </c>
      <c r="U688" s="24">
        <f>IFERROR(PROPERTIES[[#This Row],[TE_STARTING_KN]]/(PROPERTIES[[#This Row],[WEIGHT]]*9.81),0)</f>
        <v>0</v>
      </c>
      <c r="V688" s="24">
        <v>0.3</v>
      </c>
      <c r="W688" s="21">
        <f>ROUND(IF(IFERROR(PROPERTIES[[#This Row],[TE_COEFFICIENT_CALC]],0)=0,PROPERTIES[[#This Row],[TE_COEFFICIENT_MANUAL]],PROPERTIES[[#This Row],[TE_COEFFICIENT_CALC]]),3)</f>
        <v>0.3</v>
      </c>
      <c r="X688" s="9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1">
        <v>0</v>
      </c>
      <c r="Z688" s="7">
        <v>0</v>
      </c>
      <c r="AA688" t="s">
        <v>250</v>
      </c>
      <c r="AB688" t="s">
        <v>238</v>
      </c>
      <c r="AC688" t="s">
        <v>238</v>
      </c>
      <c r="AD688" s="2" t="s">
        <v>238</v>
      </c>
      <c r="AE688" s="2" t="s">
        <v>253</v>
      </c>
      <c r="AF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8" s="2" t="str">
        <f>SUBSTITUTE(SUBSTITUTE(PROPERTIES[[#This Row],[PURCHASECOST_VALUE]], "PURCHASECOST_", ""), "_VALUE", "")</f>
        <v>WAGON</v>
      </c>
      <c r="AI688" s="7" t="str" cm="1">
        <f t="array" ref="AI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8" s="43" t="b">
        <v>0</v>
      </c>
      <c r="AK688" s="8" t="b">
        <v>0</v>
      </c>
      <c r="BB688"/>
      <c r="BC688"/>
      <c r="BD688"/>
    </row>
    <row r="689" spans="1:56">
      <c r="A689" s="2" t="s">
        <v>192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5" t="str">
        <f>_xlfn.XLOOKUP(PROPERTIES[[#This Row],[VEHIDCODE]],CONTROL[VEHIDCODE],CONTROL[ENGLISH])</f>
        <v>5th Gen Boxcar [Food]</v>
      </c>
      <c r="G689" s="45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1714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8">
        <v>27</v>
      </c>
      <c r="R689">
        <v>0</v>
      </c>
      <c r="S689">
        <v>120</v>
      </c>
      <c r="T689" s="25">
        <v>0</v>
      </c>
      <c r="U689" s="24">
        <f>IFERROR(PROPERTIES[[#This Row],[TE_STARTING_KN]]/(PROPERTIES[[#This Row],[WEIGHT]]*9.81),0)</f>
        <v>0</v>
      </c>
      <c r="V689" s="24">
        <v>0.3</v>
      </c>
      <c r="W689" s="21">
        <f>ROUND(IF(IFERROR(PROPERTIES[[#This Row],[TE_COEFFICIENT_CALC]],0)=0,PROPERTIES[[#This Row],[TE_COEFFICIENT_MANUAL]],PROPERTIES[[#This Row],[TE_COEFFICIENT_CALC]]),3)</f>
        <v>0.3</v>
      </c>
      <c r="X689" s="9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1">
        <v>0</v>
      </c>
      <c r="Z689" s="7">
        <v>0</v>
      </c>
      <c r="AA689" t="s">
        <v>250</v>
      </c>
      <c r="AB689" t="s">
        <v>238</v>
      </c>
      <c r="AC689" t="s">
        <v>238</v>
      </c>
      <c r="AD689" s="2" t="s">
        <v>238</v>
      </c>
      <c r="AE689" s="2" t="s">
        <v>253</v>
      </c>
      <c r="AF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9" s="2" t="str">
        <f>SUBSTITUTE(SUBSTITUTE(PROPERTIES[[#This Row],[PURCHASECOST_VALUE]], "PURCHASECOST_", ""), "_VALUE", "")</f>
        <v>WAGON</v>
      </c>
      <c r="AI689" s="7" t="str" cm="1">
        <f t="array" ref="AI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9" s="43" t="b">
        <v>0</v>
      </c>
      <c r="AK689" s="8" t="b">
        <v>0</v>
      </c>
      <c r="BB689"/>
      <c r="BC689"/>
      <c r="BD689"/>
    </row>
    <row r="690" spans="1:56">
      <c r="A690" s="2" t="s">
        <v>193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5" t="str">
        <f>_xlfn.XLOOKUP(PROPERTIES[[#This Row],[VEHIDCODE]],CONTROL[VEHIDCODE],CONTROL[ENGLISH])</f>
        <v>5th Gen Boxcar [Non-Food]</v>
      </c>
      <c r="G690" s="45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1717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8">
        <v>27</v>
      </c>
      <c r="R690">
        <v>0</v>
      </c>
      <c r="S690">
        <v>120</v>
      </c>
      <c r="T690" s="25">
        <v>0</v>
      </c>
      <c r="U690" s="24">
        <f>IFERROR(PROPERTIES[[#This Row],[TE_STARTING_KN]]/(PROPERTIES[[#This Row],[WEIGHT]]*9.81),0)</f>
        <v>0</v>
      </c>
      <c r="V690" s="24">
        <v>0.3</v>
      </c>
      <c r="W690" s="21">
        <f>ROUND(IF(IFERROR(PROPERTIES[[#This Row],[TE_COEFFICIENT_CALC]],0)=0,PROPERTIES[[#This Row],[TE_COEFFICIENT_MANUAL]],PROPERTIES[[#This Row],[TE_COEFFICIENT_CALC]]),3)</f>
        <v>0.3</v>
      </c>
      <c r="X690" s="9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1">
        <v>0</v>
      </c>
      <c r="Z690" s="7">
        <v>0</v>
      </c>
      <c r="AA690" t="s">
        <v>250</v>
      </c>
      <c r="AB690" t="s">
        <v>238</v>
      </c>
      <c r="AC690" t="s">
        <v>238</v>
      </c>
      <c r="AD690" s="2" t="s">
        <v>238</v>
      </c>
      <c r="AE690" s="2" t="s">
        <v>253</v>
      </c>
      <c r="AF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0" s="2" t="str">
        <f>SUBSTITUTE(SUBSTITUTE(PROPERTIES[[#This Row],[PURCHASECOST_VALUE]], "PURCHASECOST_", ""), "_VALUE", "")</f>
        <v>WAGON</v>
      </c>
      <c r="AI690" s="7" t="str" cm="1">
        <f t="array" ref="AI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0" s="43" t="b">
        <v>0</v>
      </c>
      <c r="AK690" s="8" t="b">
        <v>0</v>
      </c>
      <c r="BB690"/>
      <c r="BC690"/>
      <c r="BD690"/>
    </row>
    <row r="691" spans="1:56">
      <c r="A691" s="2" t="s">
        <v>194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5" t="str">
        <f>_xlfn.XLOOKUP(PROPERTIES[[#This Row],[VEHIDCODE]],CONTROL[VEHIDCODE],CONTROL[ENGLISH])</f>
        <v>5th Gen Tanker</v>
      </c>
      <c r="G691" s="45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8">
        <v>24</v>
      </c>
      <c r="R691">
        <v>0</v>
      </c>
      <c r="S691">
        <v>120</v>
      </c>
      <c r="T691" s="25">
        <v>0</v>
      </c>
      <c r="U691" s="24">
        <f>IFERROR(PROPERTIES[[#This Row],[TE_STARTING_KN]]/(PROPERTIES[[#This Row],[WEIGHT]]*9.81),0)</f>
        <v>0</v>
      </c>
      <c r="V691" s="24">
        <v>0.3</v>
      </c>
      <c r="W691" s="21">
        <f>ROUND(IF(IFERROR(PROPERTIES[[#This Row],[TE_COEFFICIENT_CALC]],0)=0,PROPERTIES[[#This Row],[TE_COEFFICIENT_MANUAL]],PROPERTIES[[#This Row],[TE_COEFFICIENT_CALC]]),3)</f>
        <v>0.3</v>
      </c>
      <c r="X691" s="9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1">
        <v>0</v>
      </c>
      <c r="Z691" s="7">
        <v>0</v>
      </c>
      <c r="AA691" t="s">
        <v>250</v>
      </c>
      <c r="AB691" t="s">
        <v>238</v>
      </c>
      <c r="AC691" t="s">
        <v>238</v>
      </c>
      <c r="AD691" s="2" t="s">
        <v>238</v>
      </c>
      <c r="AE691" s="2" t="s">
        <v>253</v>
      </c>
      <c r="AF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1" s="2" t="str">
        <f>SUBSTITUTE(SUBSTITUTE(PROPERTIES[[#This Row],[PURCHASECOST_VALUE]], "PURCHASECOST_", ""), "_VALUE", "")</f>
        <v>WAGON</v>
      </c>
      <c r="AI691" s="7" t="str" cm="1">
        <f t="array" ref="AI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1" s="43" t="b">
        <v>0</v>
      </c>
      <c r="AK691" s="8" t="b">
        <v>0</v>
      </c>
      <c r="BB691"/>
      <c r="BC691"/>
      <c r="BD691"/>
    </row>
    <row r="692" spans="1:56">
      <c r="A692" s="2" t="s">
        <v>195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5" t="str">
        <f>_xlfn.XLOOKUP(PROPERTIES[[#This Row],[VEHIDCODE]],CONTROL[VEHIDCODE],CONTROL[ENGLISH])</f>
        <v>5th Gen Gondola</v>
      </c>
      <c r="G692" s="45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8">
        <v>22</v>
      </c>
      <c r="R692">
        <v>0</v>
      </c>
      <c r="S692">
        <v>120</v>
      </c>
      <c r="T692" s="25">
        <v>0</v>
      </c>
      <c r="U692" s="24">
        <f>IFERROR(PROPERTIES[[#This Row],[TE_STARTING_KN]]/(PROPERTIES[[#This Row],[WEIGHT]]*9.81),0)</f>
        <v>0</v>
      </c>
      <c r="V692" s="24">
        <v>0.3</v>
      </c>
      <c r="W692" s="21">
        <f>ROUND(IF(IFERROR(PROPERTIES[[#This Row],[TE_COEFFICIENT_CALC]],0)=0,PROPERTIES[[#This Row],[TE_COEFFICIENT_MANUAL]],PROPERTIES[[#This Row],[TE_COEFFICIENT_CALC]]),3)</f>
        <v>0.3</v>
      </c>
      <c r="X692" s="9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1">
        <v>0</v>
      </c>
      <c r="Z692" s="7">
        <v>0</v>
      </c>
      <c r="AA692" t="s">
        <v>250</v>
      </c>
      <c r="AB692" t="s">
        <v>238</v>
      </c>
      <c r="AC692" t="s">
        <v>238</v>
      </c>
      <c r="AD692" s="2" t="s">
        <v>238</v>
      </c>
      <c r="AE692" s="2" t="s">
        <v>253</v>
      </c>
      <c r="AF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2" s="2" t="str">
        <f>SUBSTITUTE(SUBSTITUTE(PROPERTIES[[#This Row],[PURCHASECOST_VALUE]], "PURCHASECOST_", ""), "_VALUE", "")</f>
        <v>WAGON</v>
      </c>
      <c r="AI692" s="7" t="str" cm="1">
        <f t="array" ref="AI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2" s="43" t="b">
        <v>0</v>
      </c>
      <c r="AK692" s="8" t="b">
        <v>0</v>
      </c>
      <c r="BB692"/>
      <c r="BC692"/>
      <c r="BD692"/>
    </row>
    <row r="693" spans="1:56">
      <c r="A693" s="2" t="s">
        <v>196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5" t="str">
        <f>_xlfn.XLOOKUP(PROPERTIES[[#This Row],[VEHIDCODE]],CONTROL[VEHIDCODE],CONTROL[ENGLISH])</f>
        <v>5th Gen Silo [Food]</v>
      </c>
      <c r="G693" s="45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1716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8">
        <v>27</v>
      </c>
      <c r="R693">
        <v>0</v>
      </c>
      <c r="S693">
        <v>120</v>
      </c>
      <c r="T693" s="25">
        <v>0</v>
      </c>
      <c r="U693" s="24">
        <f>IFERROR(PROPERTIES[[#This Row],[TE_STARTING_KN]]/(PROPERTIES[[#This Row],[WEIGHT]]*9.81),0)</f>
        <v>0</v>
      </c>
      <c r="V693" s="24">
        <v>0.3</v>
      </c>
      <c r="W693" s="21">
        <f>ROUND(IF(IFERROR(PROPERTIES[[#This Row],[TE_COEFFICIENT_CALC]],0)=0,PROPERTIES[[#This Row],[TE_COEFFICIENT_MANUAL]],PROPERTIES[[#This Row],[TE_COEFFICIENT_CALC]]),3)</f>
        <v>0.3</v>
      </c>
      <c r="X693" s="9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1">
        <v>0</v>
      </c>
      <c r="Z693" s="7">
        <v>0</v>
      </c>
      <c r="AA693" t="s">
        <v>250</v>
      </c>
      <c r="AB693" t="s">
        <v>238</v>
      </c>
      <c r="AC693" t="s">
        <v>238</v>
      </c>
      <c r="AD693" s="2" t="s">
        <v>238</v>
      </c>
      <c r="AE693" s="2" t="s">
        <v>253</v>
      </c>
      <c r="AF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3" s="2" t="str">
        <f>SUBSTITUTE(SUBSTITUTE(PROPERTIES[[#This Row],[PURCHASECOST_VALUE]], "PURCHASECOST_", ""), "_VALUE", "")</f>
        <v>WAGON</v>
      </c>
      <c r="AI693" s="7" t="str" cm="1">
        <f t="array" ref="AI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3" s="43" t="b">
        <v>0</v>
      </c>
      <c r="AK693" s="8" t="b">
        <v>0</v>
      </c>
      <c r="BB693"/>
      <c r="BC693"/>
      <c r="BD693"/>
    </row>
    <row r="694" spans="1:56">
      <c r="A694" s="2" t="s">
        <v>197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5" t="str">
        <f>_xlfn.XLOOKUP(PROPERTIES[[#This Row],[VEHIDCODE]],CONTROL[VEHIDCODE],CONTROL[ENGLISH])</f>
        <v>5th Gen Silo [Non-Food]</v>
      </c>
      <c r="G694" s="45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1719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8">
        <v>27</v>
      </c>
      <c r="R694">
        <v>0</v>
      </c>
      <c r="S694">
        <v>120</v>
      </c>
      <c r="T694" s="25">
        <v>0</v>
      </c>
      <c r="U694" s="24">
        <f>IFERROR(PROPERTIES[[#This Row],[TE_STARTING_KN]]/(PROPERTIES[[#This Row],[WEIGHT]]*9.81),0)</f>
        <v>0</v>
      </c>
      <c r="V694" s="24">
        <v>0.3</v>
      </c>
      <c r="W694" s="21">
        <f>ROUND(IF(IFERROR(PROPERTIES[[#This Row],[TE_COEFFICIENT_CALC]],0)=0,PROPERTIES[[#This Row],[TE_COEFFICIENT_MANUAL]],PROPERTIES[[#This Row],[TE_COEFFICIENT_CALC]]),3)</f>
        <v>0.3</v>
      </c>
      <c r="X694" s="9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1">
        <v>0</v>
      </c>
      <c r="Z694" s="7">
        <v>0</v>
      </c>
      <c r="AA694" t="s">
        <v>250</v>
      </c>
      <c r="AB694" t="s">
        <v>238</v>
      </c>
      <c r="AC694" t="s">
        <v>238</v>
      </c>
      <c r="AD694" s="2" t="s">
        <v>238</v>
      </c>
      <c r="AE694" s="2" t="s">
        <v>253</v>
      </c>
      <c r="AF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4" s="2" t="str">
        <f>SUBSTITUTE(SUBSTITUTE(PROPERTIES[[#This Row],[PURCHASECOST_VALUE]], "PURCHASECOST_", ""), "_VALUE", "")</f>
        <v>WAGON</v>
      </c>
      <c r="AI694" s="7" t="str" cm="1">
        <f t="array" ref="AI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4" s="43" t="b">
        <v>0</v>
      </c>
      <c r="AK694" s="8" t="b">
        <v>0</v>
      </c>
      <c r="BB694"/>
      <c r="BC694"/>
      <c r="BD694"/>
    </row>
    <row r="695" spans="1:56">
      <c r="A695" s="2" t="s">
        <v>198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5" t="str">
        <f>_xlfn.XLOOKUP(PROPERTIES[[#This Row],[VEHIDCODE]],CONTROL[VEHIDCODE],CONTROL[ENGLISH])</f>
        <v>5th Gen Self-discharging Hopper [Food]</v>
      </c>
      <c r="G695" s="45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1715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8">
        <v>26</v>
      </c>
      <c r="R695">
        <v>0</v>
      </c>
      <c r="S695">
        <v>120</v>
      </c>
      <c r="T695" s="25">
        <v>0</v>
      </c>
      <c r="U695" s="24">
        <f>IFERROR(PROPERTIES[[#This Row],[TE_STARTING_KN]]/(PROPERTIES[[#This Row],[WEIGHT]]*9.81),0)</f>
        <v>0</v>
      </c>
      <c r="V695" s="24">
        <v>0.3</v>
      </c>
      <c r="W695" s="21">
        <f>ROUND(IF(IFERROR(PROPERTIES[[#This Row],[TE_COEFFICIENT_CALC]],0)=0,PROPERTIES[[#This Row],[TE_COEFFICIENT_MANUAL]],PROPERTIES[[#This Row],[TE_COEFFICIENT_CALC]]),3)</f>
        <v>0.3</v>
      </c>
      <c r="X695" s="9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1">
        <v>0</v>
      </c>
      <c r="Z695" s="7">
        <v>0</v>
      </c>
      <c r="AA695" t="s">
        <v>250</v>
      </c>
      <c r="AB695" t="s">
        <v>238</v>
      </c>
      <c r="AC695" t="s">
        <v>238</v>
      </c>
      <c r="AD695" s="2" t="s">
        <v>238</v>
      </c>
      <c r="AE695" s="2" t="s">
        <v>253</v>
      </c>
      <c r="AF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5" s="2" t="str">
        <f>SUBSTITUTE(SUBSTITUTE(PROPERTIES[[#This Row],[PURCHASECOST_VALUE]], "PURCHASECOST_", ""), "_VALUE", "")</f>
        <v>WAGON</v>
      </c>
      <c r="AI695" s="7" t="str" cm="1">
        <f t="array" ref="AI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5" s="43" t="b">
        <v>0</v>
      </c>
      <c r="AK695" s="8" t="b">
        <v>0</v>
      </c>
      <c r="BB695"/>
      <c r="BC695"/>
      <c r="BD695"/>
    </row>
    <row r="696" spans="1:56">
      <c r="A696" s="2" t="s">
        <v>199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5" t="str">
        <f>_xlfn.XLOOKUP(PROPERTIES[[#This Row],[VEHIDCODE]],CONTROL[VEHIDCODE],CONTROL[ENGLISH])</f>
        <v>5th Gen Self-discharging Hopper [Non-Food]</v>
      </c>
      <c r="G696" s="45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1718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8">
        <v>26</v>
      </c>
      <c r="R696">
        <v>0</v>
      </c>
      <c r="S696">
        <v>120</v>
      </c>
      <c r="T696" s="25">
        <v>0</v>
      </c>
      <c r="U696" s="24">
        <f>IFERROR(PROPERTIES[[#This Row],[TE_STARTING_KN]]/(PROPERTIES[[#This Row],[WEIGHT]]*9.81),0)</f>
        <v>0</v>
      </c>
      <c r="V696" s="24">
        <v>0.3</v>
      </c>
      <c r="W696" s="21">
        <f>ROUND(IF(IFERROR(PROPERTIES[[#This Row],[TE_COEFFICIENT_CALC]],0)=0,PROPERTIES[[#This Row],[TE_COEFFICIENT_MANUAL]],PROPERTIES[[#This Row],[TE_COEFFICIENT_CALC]]),3)</f>
        <v>0.3</v>
      </c>
      <c r="X696" s="9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1">
        <v>0</v>
      </c>
      <c r="Z696" s="7">
        <v>0</v>
      </c>
      <c r="AA696" t="s">
        <v>250</v>
      </c>
      <c r="AB696" t="s">
        <v>238</v>
      </c>
      <c r="AC696" t="s">
        <v>238</v>
      </c>
      <c r="AD696" s="2" t="s">
        <v>238</v>
      </c>
      <c r="AE696" s="2" t="s">
        <v>253</v>
      </c>
      <c r="AF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6" s="2" t="str">
        <f>SUBSTITUTE(SUBSTITUTE(PROPERTIES[[#This Row],[PURCHASECOST_VALUE]], "PURCHASECOST_", ""), "_VALUE", "")</f>
        <v>WAGON</v>
      </c>
      <c r="AI696" s="7" t="str" cm="1">
        <f t="array" ref="AI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6" s="43" t="b">
        <v>0</v>
      </c>
      <c r="AK696" s="8" t="b">
        <v>0</v>
      </c>
      <c r="BB696"/>
      <c r="BC696"/>
      <c r="BD696"/>
    </row>
    <row r="697" spans="1:56">
      <c r="A697" s="2" t="s">
        <v>200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5" t="str">
        <f>_xlfn.XLOOKUP(PROPERTIES[[#This Row],[VEHIDCODE]],CONTROL[VEHIDCODE],CONTROL[ENGLISH])</f>
        <v>5th Gen Car Transporter</v>
      </c>
      <c r="G697" s="45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8">
        <v>28</v>
      </c>
      <c r="R697">
        <v>0</v>
      </c>
      <c r="S697">
        <v>160</v>
      </c>
      <c r="T697" s="25">
        <v>0</v>
      </c>
      <c r="U697" s="24">
        <f>IFERROR(PROPERTIES[[#This Row],[TE_STARTING_KN]]/(PROPERTIES[[#This Row],[WEIGHT]]*9.81),0)</f>
        <v>0</v>
      </c>
      <c r="V697" s="24">
        <v>0.3</v>
      </c>
      <c r="W697" s="21">
        <f>ROUND(IF(IFERROR(PROPERTIES[[#This Row],[TE_COEFFICIENT_CALC]],0)=0,PROPERTIES[[#This Row],[TE_COEFFICIENT_MANUAL]],PROPERTIES[[#This Row],[TE_COEFFICIENT_CALC]]),3)</f>
        <v>0.3</v>
      </c>
      <c r="X697" s="9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1">
        <v>0</v>
      </c>
      <c r="Z697" s="7">
        <v>0</v>
      </c>
      <c r="AA697" t="s">
        <v>250</v>
      </c>
      <c r="AB697" t="s">
        <v>238</v>
      </c>
      <c r="AC697" t="s">
        <v>238</v>
      </c>
      <c r="AD697" s="2" t="s">
        <v>238</v>
      </c>
      <c r="AE697" s="2" t="s">
        <v>253</v>
      </c>
      <c r="AF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7" s="2" t="str">
        <f>SUBSTITUTE(SUBSTITUTE(PROPERTIES[[#This Row],[PURCHASECOST_VALUE]], "PURCHASECOST_", ""), "_VALUE", "")</f>
        <v>WAGON</v>
      </c>
      <c r="AI697" s="7" t="str" cm="1">
        <f t="array" ref="AI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7" s="43" t="b">
        <v>0</v>
      </c>
      <c r="AK697" s="8" t="b">
        <v>0</v>
      </c>
      <c r="BB697"/>
      <c r="BC697"/>
      <c r="BD697"/>
    </row>
    <row r="698" spans="1:56">
      <c r="A698" s="2" t="s">
        <v>201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5" t="str">
        <f>_xlfn.XLOOKUP(PROPERTIES[[#This Row],[VEHIDCODE]],CONTROL[VEHIDCODE],CONTROL[ENGLISH])</f>
        <v>5th Gen Container Carrier</v>
      </c>
      <c r="G698" s="45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8">
        <v>22</v>
      </c>
      <c r="R698">
        <v>0</v>
      </c>
      <c r="S698">
        <v>160</v>
      </c>
      <c r="T698" s="25">
        <v>0</v>
      </c>
      <c r="U698" s="24">
        <f>IFERROR(PROPERTIES[[#This Row],[TE_STARTING_KN]]/(PROPERTIES[[#This Row],[WEIGHT]]*9.81),0)</f>
        <v>0</v>
      </c>
      <c r="V698" s="24">
        <v>0.3</v>
      </c>
      <c r="W698" s="21">
        <f>ROUND(IF(IFERROR(PROPERTIES[[#This Row],[TE_COEFFICIENT_CALC]],0)=0,PROPERTIES[[#This Row],[TE_COEFFICIENT_MANUAL]],PROPERTIES[[#This Row],[TE_COEFFICIENT_CALC]]),3)</f>
        <v>0.3</v>
      </c>
      <c r="X698" s="9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1">
        <v>0</v>
      </c>
      <c r="Z698" s="7">
        <v>0</v>
      </c>
      <c r="AA698" t="s">
        <v>250</v>
      </c>
      <c r="AB698" t="s">
        <v>238</v>
      </c>
      <c r="AC698" t="s">
        <v>238</v>
      </c>
      <c r="AD698" s="2" t="s">
        <v>238</v>
      </c>
      <c r="AE698" s="2" t="s">
        <v>253</v>
      </c>
      <c r="AF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8" s="2" t="str">
        <f>SUBSTITUTE(SUBSTITUTE(PROPERTIES[[#This Row],[PURCHASECOST_VALUE]], "PURCHASECOST_", ""), "_VALUE", "")</f>
        <v>WAGON</v>
      </c>
      <c r="AI698" s="7" t="str" cm="1">
        <f t="array" ref="AI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8" s="43" t="b">
        <v>0</v>
      </c>
      <c r="AK698" s="8" t="b">
        <v>0</v>
      </c>
      <c r="BB698"/>
      <c r="BC698"/>
      <c r="BD698"/>
    </row>
    <row r="699" spans="1:56">
      <c r="A699" s="2" t="s">
        <v>202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5" t="str">
        <f>_xlfn.XLOOKUP(PROPERTIES[[#This Row],[VEHIDCODE]],CONTROL[VEHIDCODE],CONTROL[ENGLISH])</f>
        <v>5th Gen Centerbeam Flatcar</v>
      </c>
      <c r="G699" s="45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8">
        <v>40</v>
      </c>
      <c r="R699">
        <v>0</v>
      </c>
      <c r="S699">
        <v>120</v>
      </c>
      <c r="T699" s="25">
        <v>0</v>
      </c>
      <c r="U699" s="24">
        <f>IFERROR(PROPERTIES[[#This Row],[TE_STARTING_KN]]/(PROPERTIES[[#This Row],[WEIGHT]]*9.81),0)</f>
        <v>0</v>
      </c>
      <c r="V699" s="24">
        <v>0.3</v>
      </c>
      <c r="W699" s="21">
        <f>ROUND(IF(IFERROR(PROPERTIES[[#This Row],[TE_COEFFICIENT_CALC]],0)=0,PROPERTIES[[#This Row],[TE_COEFFICIENT_MANUAL]],PROPERTIES[[#This Row],[TE_COEFFICIENT_CALC]]),3)</f>
        <v>0.3</v>
      </c>
      <c r="X699" s="9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1">
        <v>0</v>
      </c>
      <c r="Z699" s="7">
        <v>0</v>
      </c>
      <c r="AA699" t="s">
        <v>250</v>
      </c>
      <c r="AB699" t="s">
        <v>238</v>
      </c>
      <c r="AC699" t="s">
        <v>238</v>
      </c>
      <c r="AD699" s="2" t="s">
        <v>238</v>
      </c>
      <c r="AE699" s="2" t="s">
        <v>253</v>
      </c>
      <c r="AF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9" s="2" t="str">
        <f>SUBSTITUTE(SUBSTITUTE(PROPERTIES[[#This Row],[PURCHASECOST_VALUE]], "PURCHASECOST_", ""), "_VALUE", "")</f>
        <v>WAGON</v>
      </c>
      <c r="AI699" s="7" t="str" cm="1">
        <f t="array" ref="AI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9" s="43" t="b">
        <v>0</v>
      </c>
      <c r="AK699" s="8" t="b">
        <v>0</v>
      </c>
      <c r="BB699"/>
      <c r="BC699"/>
      <c r="BD699"/>
    </row>
    <row r="700" spans="1:56">
      <c r="A700" s="2" t="s">
        <v>203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5" t="str">
        <f>_xlfn.XLOOKUP(PROPERTIES[[#This Row],[VEHIDCODE]],CONTROL[VEHIDCODE],CONTROL[ENGLISH])</f>
        <v>5th Gen Container Doublestack</v>
      </c>
      <c r="G700" s="45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8">
        <v>25</v>
      </c>
      <c r="R700">
        <v>0</v>
      </c>
      <c r="S700">
        <v>120</v>
      </c>
      <c r="T700" s="25">
        <v>0</v>
      </c>
      <c r="U700" s="24">
        <f>IFERROR(PROPERTIES[[#This Row],[TE_STARTING_KN]]/(PROPERTIES[[#This Row],[WEIGHT]]*9.81),0)</f>
        <v>0</v>
      </c>
      <c r="V700" s="24">
        <v>0.3</v>
      </c>
      <c r="W700" s="21">
        <f>ROUND(IF(IFERROR(PROPERTIES[[#This Row],[TE_COEFFICIENT_CALC]],0)=0,PROPERTIES[[#This Row],[TE_COEFFICIENT_MANUAL]],PROPERTIES[[#This Row],[TE_COEFFICIENT_CALC]]),3)</f>
        <v>0.3</v>
      </c>
      <c r="X700" s="9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1">
        <v>0</v>
      </c>
      <c r="Z700" s="7">
        <v>0</v>
      </c>
      <c r="AA700" t="s">
        <v>250</v>
      </c>
      <c r="AB700" t="s">
        <v>238</v>
      </c>
      <c r="AC700" t="s">
        <v>238</v>
      </c>
      <c r="AD700" s="2" t="s">
        <v>238</v>
      </c>
      <c r="AE700" s="2" t="s">
        <v>253</v>
      </c>
      <c r="AF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0" s="2" t="str">
        <f>SUBSTITUTE(SUBSTITUTE(PROPERTIES[[#This Row],[PURCHASECOST_VALUE]], "PURCHASECOST_", ""), "_VALUE", "")</f>
        <v>WAGON</v>
      </c>
      <c r="AI700" s="7" t="str" cm="1">
        <f t="array" ref="AI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0" s="43" t="b">
        <v>0</v>
      </c>
      <c r="AK700" s="8" t="b">
        <v>0</v>
      </c>
      <c r="BB700"/>
      <c r="BC700"/>
      <c r="BD700"/>
    </row>
    <row r="701" spans="1:56">
      <c r="A701" s="2" t="s">
        <v>204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5" t="str">
        <f>_xlfn.XLOOKUP(PROPERTIES[[#This Row],[VEHIDCODE]],CONTROL[VEHIDCODE],CONTROL[ENGLISH])</f>
        <v>5th Gen Superheavy Flatcar</v>
      </c>
      <c r="G701" s="45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8">
        <v>50</v>
      </c>
      <c r="R701">
        <v>0</v>
      </c>
      <c r="S701">
        <v>100</v>
      </c>
      <c r="T701" s="25">
        <v>0</v>
      </c>
      <c r="U701" s="24">
        <f>IFERROR(PROPERTIES[[#This Row],[TE_STARTING_KN]]/(PROPERTIES[[#This Row],[WEIGHT]]*9.81),0)</f>
        <v>0</v>
      </c>
      <c r="V701" s="24">
        <v>0.3</v>
      </c>
      <c r="W701" s="21">
        <f>ROUND(IF(IFERROR(PROPERTIES[[#This Row],[TE_COEFFICIENT_CALC]],0)=0,PROPERTIES[[#This Row],[TE_COEFFICIENT_MANUAL]],PROPERTIES[[#This Row],[TE_COEFFICIENT_CALC]]),3)</f>
        <v>0.3</v>
      </c>
      <c r="X701" s="9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1">
        <v>0</v>
      </c>
      <c r="Z701" s="7">
        <v>0</v>
      </c>
      <c r="AA701" t="s">
        <v>250</v>
      </c>
      <c r="AB701" t="s">
        <v>238</v>
      </c>
      <c r="AC701" t="s">
        <v>238</v>
      </c>
      <c r="AD701" s="2" t="s">
        <v>238</v>
      </c>
      <c r="AE701" s="2" t="s">
        <v>253</v>
      </c>
      <c r="AF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1" s="2" t="str">
        <f>SUBSTITUTE(SUBSTITUTE(PROPERTIES[[#This Row],[PURCHASECOST_VALUE]], "PURCHASECOST_", ""), "_VALUE", "")</f>
        <v>WAGON</v>
      </c>
      <c r="AI701" s="7" t="str" cm="1">
        <f t="array" ref="AI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1" s="43" t="b">
        <v>0</v>
      </c>
      <c r="AK701" s="8" t="b">
        <v>0</v>
      </c>
      <c r="BB701"/>
      <c r="BC701"/>
      <c r="BD701"/>
    </row>
    <row r="702" spans="1:56">
      <c r="A702" s="2" t="s">
        <v>205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5" t="str">
        <f>_xlfn.XLOOKUP(PROPERTIES[[#This Row],[VEHIDCODE]],CONTROL[VEHIDCODE],CONTROL[ENGLISH])</f>
        <v>6th Gen Flatcar</v>
      </c>
      <c r="G702" s="45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8">
        <v>23</v>
      </c>
      <c r="R702">
        <v>0</v>
      </c>
      <c r="S702">
        <v>160</v>
      </c>
      <c r="T702" s="25">
        <v>0</v>
      </c>
      <c r="U702" s="24">
        <f>IFERROR(PROPERTIES[[#This Row],[TE_STARTING_KN]]/(PROPERTIES[[#This Row],[WEIGHT]]*9.81),0)</f>
        <v>0</v>
      </c>
      <c r="V702" s="24">
        <v>0.3</v>
      </c>
      <c r="W702" s="21">
        <f>ROUND(IF(IFERROR(PROPERTIES[[#This Row],[TE_COEFFICIENT_CALC]],0)=0,PROPERTIES[[#This Row],[TE_COEFFICIENT_MANUAL]],PROPERTIES[[#This Row],[TE_COEFFICIENT_CALC]]),3)</f>
        <v>0.3</v>
      </c>
      <c r="X702" s="9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1">
        <v>0</v>
      </c>
      <c r="Z702" s="7">
        <v>0</v>
      </c>
      <c r="AA702" t="s">
        <v>250</v>
      </c>
      <c r="AB702" t="s">
        <v>238</v>
      </c>
      <c r="AC702" t="s">
        <v>238</v>
      </c>
      <c r="AD702" s="2" t="s">
        <v>238</v>
      </c>
      <c r="AE702" s="2" t="s">
        <v>253</v>
      </c>
      <c r="AF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2" s="2" t="str">
        <f>SUBSTITUTE(SUBSTITUTE(PROPERTIES[[#This Row],[PURCHASECOST_VALUE]], "PURCHASECOST_", ""), "_VALUE", "")</f>
        <v>WAGON</v>
      </c>
      <c r="AI702" s="7" t="str" cm="1">
        <f t="array" ref="AI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2" s="43" t="b">
        <v>0</v>
      </c>
      <c r="AK702" s="8" t="b">
        <v>0</v>
      </c>
      <c r="BB702"/>
      <c r="BC702"/>
      <c r="BD702"/>
    </row>
    <row r="703" spans="1:56">
      <c r="A703" s="2" t="s">
        <v>206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5" t="str">
        <f>_xlfn.XLOOKUP(PROPERTIES[[#This Row],[VEHIDCODE]],CONTROL[VEHIDCODE],CONTROL[ENGLISH])</f>
        <v>6th Gen Heavy Flatcar</v>
      </c>
      <c r="G703" s="45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8">
        <v>42</v>
      </c>
      <c r="R703">
        <v>0</v>
      </c>
      <c r="S703">
        <v>140</v>
      </c>
      <c r="T703" s="25">
        <v>0</v>
      </c>
      <c r="U703" s="24">
        <f>IFERROR(PROPERTIES[[#This Row],[TE_STARTING_KN]]/(PROPERTIES[[#This Row],[WEIGHT]]*9.81),0)</f>
        <v>0</v>
      </c>
      <c r="V703" s="24">
        <v>0.3</v>
      </c>
      <c r="W703" s="21">
        <f>ROUND(IF(IFERROR(PROPERTIES[[#This Row],[TE_COEFFICIENT_CALC]],0)=0,PROPERTIES[[#This Row],[TE_COEFFICIENT_MANUAL]],PROPERTIES[[#This Row],[TE_COEFFICIENT_CALC]]),3)</f>
        <v>0.3</v>
      </c>
      <c r="X703" s="9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1">
        <v>0</v>
      </c>
      <c r="Z703" s="7">
        <v>0</v>
      </c>
      <c r="AA703" t="s">
        <v>250</v>
      </c>
      <c r="AB703" t="s">
        <v>238</v>
      </c>
      <c r="AC703" t="s">
        <v>238</v>
      </c>
      <c r="AD703" s="2" t="s">
        <v>238</v>
      </c>
      <c r="AE703" s="2" t="s">
        <v>253</v>
      </c>
      <c r="AF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3" s="2" t="str">
        <f>SUBSTITUTE(SUBSTITUTE(PROPERTIES[[#This Row],[PURCHASECOST_VALUE]], "PURCHASECOST_", ""), "_VALUE", "")</f>
        <v>WAGON</v>
      </c>
      <c r="AI703" s="7" t="str" cm="1">
        <f t="array" ref="AI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3" s="43" t="b">
        <v>0</v>
      </c>
      <c r="AK703" s="8" t="b">
        <v>0</v>
      </c>
      <c r="BB703"/>
      <c r="BC703"/>
      <c r="BD703"/>
    </row>
    <row r="704" spans="1:56">
      <c r="A704" s="2" t="s">
        <v>207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5" t="str">
        <f>_xlfn.XLOOKUP(PROPERTIES[[#This Row],[VEHIDCODE]],CONTROL[VEHIDCODE],CONTROL[ENGLISH])</f>
        <v>6th Gen Boxcar [Food]</v>
      </c>
      <c r="G704" s="45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1714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8">
        <v>27</v>
      </c>
      <c r="R704">
        <v>0</v>
      </c>
      <c r="S704">
        <v>160</v>
      </c>
      <c r="T704" s="25">
        <v>0</v>
      </c>
      <c r="U704" s="24">
        <f>IFERROR(PROPERTIES[[#This Row],[TE_STARTING_KN]]/(PROPERTIES[[#This Row],[WEIGHT]]*9.81),0)</f>
        <v>0</v>
      </c>
      <c r="V704" s="24">
        <v>0.3</v>
      </c>
      <c r="W704" s="21">
        <f>ROUND(IF(IFERROR(PROPERTIES[[#This Row],[TE_COEFFICIENT_CALC]],0)=0,PROPERTIES[[#This Row],[TE_COEFFICIENT_MANUAL]],PROPERTIES[[#This Row],[TE_COEFFICIENT_CALC]]),3)</f>
        <v>0.3</v>
      </c>
      <c r="X704" s="9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1">
        <v>0</v>
      </c>
      <c r="Z704" s="7">
        <v>0</v>
      </c>
      <c r="AA704" t="s">
        <v>250</v>
      </c>
      <c r="AB704" t="s">
        <v>238</v>
      </c>
      <c r="AC704" t="s">
        <v>238</v>
      </c>
      <c r="AD704" s="2" t="s">
        <v>238</v>
      </c>
      <c r="AE704" s="2" t="s">
        <v>253</v>
      </c>
      <c r="AF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4" s="2" t="str">
        <f>SUBSTITUTE(SUBSTITUTE(PROPERTIES[[#This Row],[PURCHASECOST_VALUE]], "PURCHASECOST_", ""), "_VALUE", "")</f>
        <v>WAGON</v>
      </c>
      <c r="AI704" s="7" t="str" cm="1">
        <f t="array" ref="AI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4" s="43" t="b">
        <v>0</v>
      </c>
      <c r="AK704" s="8" t="b">
        <v>0</v>
      </c>
      <c r="BB704"/>
      <c r="BC704"/>
      <c r="BD704"/>
    </row>
    <row r="705" spans="1:56">
      <c r="A705" s="2" t="s">
        <v>208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5" t="str">
        <f>_xlfn.XLOOKUP(PROPERTIES[[#This Row],[VEHIDCODE]],CONTROL[VEHIDCODE],CONTROL[ENGLISH])</f>
        <v>6th Gen Boxcar [Non-Food]</v>
      </c>
      <c r="G705" s="45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1717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8">
        <v>27</v>
      </c>
      <c r="R705">
        <v>0</v>
      </c>
      <c r="S705">
        <v>160</v>
      </c>
      <c r="T705" s="25">
        <v>0</v>
      </c>
      <c r="U705" s="24">
        <f>IFERROR(PROPERTIES[[#This Row],[TE_STARTING_KN]]/(PROPERTIES[[#This Row],[WEIGHT]]*9.81),0)</f>
        <v>0</v>
      </c>
      <c r="V705" s="24">
        <v>0.3</v>
      </c>
      <c r="W705" s="21">
        <f>ROUND(IF(IFERROR(PROPERTIES[[#This Row],[TE_COEFFICIENT_CALC]],0)=0,PROPERTIES[[#This Row],[TE_COEFFICIENT_MANUAL]],PROPERTIES[[#This Row],[TE_COEFFICIENT_CALC]]),3)</f>
        <v>0.3</v>
      </c>
      <c r="X705" s="9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1">
        <v>0</v>
      </c>
      <c r="Z705" s="7">
        <v>0</v>
      </c>
      <c r="AA705" t="s">
        <v>250</v>
      </c>
      <c r="AB705" t="s">
        <v>238</v>
      </c>
      <c r="AC705" t="s">
        <v>238</v>
      </c>
      <c r="AD705" s="2" t="s">
        <v>238</v>
      </c>
      <c r="AE705" s="2" t="s">
        <v>253</v>
      </c>
      <c r="AF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5" s="2" t="str">
        <f>SUBSTITUTE(SUBSTITUTE(PROPERTIES[[#This Row],[PURCHASECOST_VALUE]], "PURCHASECOST_", ""), "_VALUE", "")</f>
        <v>WAGON</v>
      </c>
      <c r="AI705" s="7" t="str" cm="1">
        <f t="array" ref="AI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5" s="43" t="b">
        <v>0</v>
      </c>
      <c r="AK705" s="8" t="b">
        <v>0</v>
      </c>
      <c r="BB705"/>
      <c r="BC705"/>
      <c r="BD705"/>
    </row>
    <row r="706" spans="1:56">
      <c r="A706" s="2" t="s">
        <v>209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5" t="str">
        <f>_xlfn.XLOOKUP(PROPERTIES[[#This Row],[VEHIDCODE]],CONTROL[VEHIDCODE],CONTROL[ENGLISH])</f>
        <v>6th Gen Tanker</v>
      </c>
      <c r="G706" s="45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8">
        <v>24</v>
      </c>
      <c r="R706">
        <v>0</v>
      </c>
      <c r="S706">
        <v>160</v>
      </c>
      <c r="T706" s="25">
        <v>0</v>
      </c>
      <c r="U706" s="24">
        <f>IFERROR(PROPERTIES[[#This Row],[TE_STARTING_KN]]/(PROPERTIES[[#This Row],[WEIGHT]]*9.81),0)</f>
        <v>0</v>
      </c>
      <c r="V706" s="24">
        <v>0.3</v>
      </c>
      <c r="W706" s="21">
        <f>ROUND(IF(IFERROR(PROPERTIES[[#This Row],[TE_COEFFICIENT_CALC]],0)=0,PROPERTIES[[#This Row],[TE_COEFFICIENT_MANUAL]],PROPERTIES[[#This Row],[TE_COEFFICIENT_CALC]]),3)</f>
        <v>0.3</v>
      </c>
      <c r="X706" s="9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1">
        <v>0</v>
      </c>
      <c r="Z706" s="7">
        <v>0</v>
      </c>
      <c r="AA706" t="s">
        <v>250</v>
      </c>
      <c r="AB706" t="s">
        <v>238</v>
      </c>
      <c r="AC706" t="s">
        <v>238</v>
      </c>
      <c r="AD706" s="2" t="s">
        <v>238</v>
      </c>
      <c r="AE706" s="2" t="s">
        <v>253</v>
      </c>
      <c r="AF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6" s="2" t="str">
        <f>SUBSTITUTE(SUBSTITUTE(PROPERTIES[[#This Row],[PURCHASECOST_VALUE]], "PURCHASECOST_", ""), "_VALUE", "")</f>
        <v>WAGON</v>
      </c>
      <c r="AI706" s="7" t="str" cm="1">
        <f t="array" ref="AI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6" s="43" t="b">
        <v>0</v>
      </c>
      <c r="AK706" s="8" t="b">
        <v>0</v>
      </c>
      <c r="BB706"/>
      <c r="BC706"/>
      <c r="BD706"/>
    </row>
    <row r="707" spans="1:56">
      <c r="A707" s="2" t="s">
        <v>210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5" t="str">
        <f>_xlfn.XLOOKUP(PROPERTIES[[#This Row],[VEHIDCODE]],CONTROL[VEHIDCODE],CONTROL[ENGLISH])</f>
        <v>6th Gen Gondola</v>
      </c>
      <c r="G707" s="45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8">
        <v>22</v>
      </c>
      <c r="R707">
        <v>0</v>
      </c>
      <c r="S707">
        <v>160</v>
      </c>
      <c r="T707" s="25">
        <v>0</v>
      </c>
      <c r="U707" s="24">
        <f>IFERROR(PROPERTIES[[#This Row],[TE_STARTING_KN]]/(PROPERTIES[[#This Row],[WEIGHT]]*9.81),0)</f>
        <v>0</v>
      </c>
      <c r="V707" s="24">
        <v>0.3</v>
      </c>
      <c r="W707" s="21">
        <f>ROUND(IF(IFERROR(PROPERTIES[[#This Row],[TE_COEFFICIENT_CALC]],0)=0,PROPERTIES[[#This Row],[TE_COEFFICIENT_MANUAL]],PROPERTIES[[#This Row],[TE_COEFFICIENT_CALC]]),3)</f>
        <v>0.3</v>
      </c>
      <c r="X707" s="9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1">
        <v>0</v>
      </c>
      <c r="Z707" s="7">
        <v>0</v>
      </c>
      <c r="AA707" t="s">
        <v>250</v>
      </c>
      <c r="AB707" t="s">
        <v>238</v>
      </c>
      <c r="AC707" t="s">
        <v>238</v>
      </c>
      <c r="AD707" s="2" t="s">
        <v>238</v>
      </c>
      <c r="AE707" s="2" t="s">
        <v>253</v>
      </c>
      <c r="AF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7" s="2" t="str">
        <f>SUBSTITUTE(SUBSTITUTE(PROPERTIES[[#This Row],[PURCHASECOST_VALUE]], "PURCHASECOST_", ""), "_VALUE", "")</f>
        <v>WAGON</v>
      </c>
      <c r="AI707" s="7" t="str" cm="1">
        <f t="array" ref="AI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7" s="43" t="b">
        <v>0</v>
      </c>
      <c r="AK707" s="8" t="b">
        <v>0</v>
      </c>
      <c r="BB707"/>
      <c r="BC707"/>
      <c r="BD707"/>
    </row>
    <row r="708" spans="1:56">
      <c r="A708" s="2" t="s">
        <v>211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5" t="str">
        <f>_xlfn.XLOOKUP(PROPERTIES[[#This Row],[VEHIDCODE]],CONTROL[VEHIDCODE],CONTROL[ENGLISH])</f>
        <v>6th Gen Silo [Food]</v>
      </c>
      <c r="G708" s="45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1716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8">
        <v>27</v>
      </c>
      <c r="R708">
        <v>0</v>
      </c>
      <c r="S708">
        <v>160</v>
      </c>
      <c r="T708" s="25">
        <v>0</v>
      </c>
      <c r="U708" s="24">
        <f>IFERROR(PROPERTIES[[#This Row],[TE_STARTING_KN]]/(PROPERTIES[[#This Row],[WEIGHT]]*9.81),0)</f>
        <v>0</v>
      </c>
      <c r="V708" s="24">
        <v>0.3</v>
      </c>
      <c r="W708" s="21">
        <f>ROUND(IF(IFERROR(PROPERTIES[[#This Row],[TE_COEFFICIENT_CALC]],0)=0,PROPERTIES[[#This Row],[TE_COEFFICIENT_MANUAL]],PROPERTIES[[#This Row],[TE_COEFFICIENT_CALC]]),3)</f>
        <v>0.3</v>
      </c>
      <c r="X708" s="9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1">
        <v>0</v>
      </c>
      <c r="Z708" s="7">
        <v>0</v>
      </c>
      <c r="AA708" t="s">
        <v>250</v>
      </c>
      <c r="AB708" t="s">
        <v>238</v>
      </c>
      <c r="AC708" t="s">
        <v>238</v>
      </c>
      <c r="AD708" s="2" t="s">
        <v>238</v>
      </c>
      <c r="AE708" s="2" t="s">
        <v>253</v>
      </c>
      <c r="AF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8" s="2" t="str">
        <f>SUBSTITUTE(SUBSTITUTE(PROPERTIES[[#This Row],[PURCHASECOST_VALUE]], "PURCHASECOST_", ""), "_VALUE", "")</f>
        <v>WAGON</v>
      </c>
      <c r="AI708" s="7" t="str" cm="1">
        <f t="array" ref="AI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8" s="43" t="b">
        <v>0</v>
      </c>
      <c r="AK708" s="8" t="b">
        <v>0</v>
      </c>
      <c r="BB708"/>
      <c r="BC708"/>
      <c r="BD708"/>
    </row>
    <row r="709" spans="1:56">
      <c r="A709" s="2" t="s">
        <v>212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5" t="str">
        <f>_xlfn.XLOOKUP(PROPERTIES[[#This Row],[VEHIDCODE]],CONTROL[VEHIDCODE],CONTROL[ENGLISH])</f>
        <v>6th Gen Silo [Non-Food]</v>
      </c>
      <c r="G709" s="45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1719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8">
        <v>27</v>
      </c>
      <c r="R709">
        <v>0</v>
      </c>
      <c r="S709">
        <v>160</v>
      </c>
      <c r="T709" s="25">
        <v>0</v>
      </c>
      <c r="U709" s="24">
        <f>IFERROR(PROPERTIES[[#This Row],[TE_STARTING_KN]]/(PROPERTIES[[#This Row],[WEIGHT]]*9.81),0)</f>
        <v>0</v>
      </c>
      <c r="V709" s="24">
        <v>0.3</v>
      </c>
      <c r="W709" s="21">
        <f>ROUND(IF(IFERROR(PROPERTIES[[#This Row],[TE_COEFFICIENT_CALC]],0)=0,PROPERTIES[[#This Row],[TE_COEFFICIENT_MANUAL]],PROPERTIES[[#This Row],[TE_COEFFICIENT_CALC]]),3)</f>
        <v>0.3</v>
      </c>
      <c r="X709" s="9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1">
        <v>0</v>
      </c>
      <c r="Z709" s="7">
        <v>0</v>
      </c>
      <c r="AA709" t="s">
        <v>250</v>
      </c>
      <c r="AB709" t="s">
        <v>238</v>
      </c>
      <c r="AC709" t="s">
        <v>238</v>
      </c>
      <c r="AD709" s="2" t="s">
        <v>238</v>
      </c>
      <c r="AE709" s="2" t="s">
        <v>253</v>
      </c>
      <c r="AF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9" s="2" t="str">
        <f>SUBSTITUTE(SUBSTITUTE(PROPERTIES[[#This Row],[PURCHASECOST_VALUE]], "PURCHASECOST_", ""), "_VALUE", "")</f>
        <v>WAGON</v>
      </c>
      <c r="AI709" s="7" t="str" cm="1">
        <f t="array" ref="AI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9" s="43" t="b">
        <v>0</v>
      </c>
      <c r="AK709" s="8" t="b">
        <v>0</v>
      </c>
      <c r="BB709"/>
      <c r="BC709"/>
      <c r="BD709"/>
    </row>
    <row r="710" spans="1:56">
      <c r="A710" s="2" t="s">
        <v>213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5" t="str">
        <f>_xlfn.XLOOKUP(PROPERTIES[[#This Row],[VEHIDCODE]],CONTROL[VEHIDCODE],CONTROL[ENGLISH])</f>
        <v>6th Gen Self-discharging Hopper [Food]</v>
      </c>
      <c r="G710" s="45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1715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8">
        <v>26</v>
      </c>
      <c r="R710">
        <v>0</v>
      </c>
      <c r="S710">
        <v>160</v>
      </c>
      <c r="T710" s="25">
        <v>0</v>
      </c>
      <c r="U710" s="24">
        <f>IFERROR(PROPERTIES[[#This Row],[TE_STARTING_KN]]/(PROPERTIES[[#This Row],[WEIGHT]]*9.81),0)</f>
        <v>0</v>
      </c>
      <c r="V710" s="24">
        <v>0.3</v>
      </c>
      <c r="W710" s="21">
        <f>ROUND(IF(IFERROR(PROPERTIES[[#This Row],[TE_COEFFICIENT_CALC]],0)=0,PROPERTIES[[#This Row],[TE_COEFFICIENT_MANUAL]],PROPERTIES[[#This Row],[TE_COEFFICIENT_CALC]]),3)</f>
        <v>0.3</v>
      </c>
      <c r="X710" s="9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1">
        <v>0</v>
      </c>
      <c r="Z710" s="7">
        <v>0</v>
      </c>
      <c r="AA710" t="s">
        <v>250</v>
      </c>
      <c r="AB710" t="s">
        <v>238</v>
      </c>
      <c r="AC710" t="s">
        <v>238</v>
      </c>
      <c r="AD710" s="2" t="s">
        <v>238</v>
      </c>
      <c r="AE710" s="2" t="s">
        <v>253</v>
      </c>
      <c r="AF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0" s="2" t="str">
        <f>SUBSTITUTE(SUBSTITUTE(PROPERTIES[[#This Row],[PURCHASECOST_VALUE]], "PURCHASECOST_", ""), "_VALUE", "")</f>
        <v>WAGON</v>
      </c>
      <c r="AI710" s="7" t="str" cm="1">
        <f t="array" ref="AI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0" s="43" t="b">
        <v>0</v>
      </c>
      <c r="AK710" s="8" t="b">
        <v>0</v>
      </c>
      <c r="BB710"/>
      <c r="BC710"/>
      <c r="BD710"/>
    </row>
    <row r="711" spans="1:56">
      <c r="A711" s="2" t="s">
        <v>214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5" t="str">
        <f>_xlfn.XLOOKUP(PROPERTIES[[#This Row],[VEHIDCODE]],CONTROL[VEHIDCODE],CONTROL[ENGLISH])</f>
        <v>6th Gen Self-discharging Hopper [Non-Food]</v>
      </c>
      <c r="G711" s="45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1718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8">
        <v>26</v>
      </c>
      <c r="R711">
        <v>0</v>
      </c>
      <c r="S711">
        <v>160</v>
      </c>
      <c r="T711" s="25">
        <v>0</v>
      </c>
      <c r="U711" s="24">
        <f>IFERROR(PROPERTIES[[#This Row],[TE_STARTING_KN]]/(PROPERTIES[[#This Row],[WEIGHT]]*9.81),0)</f>
        <v>0</v>
      </c>
      <c r="V711" s="24">
        <v>0.3</v>
      </c>
      <c r="W711" s="21">
        <f>ROUND(IF(IFERROR(PROPERTIES[[#This Row],[TE_COEFFICIENT_CALC]],0)=0,PROPERTIES[[#This Row],[TE_COEFFICIENT_MANUAL]],PROPERTIES[[#This Row],[TE_COEFFICIENT_CALC]]),3)</f>
        <v>0.3</v>
      </c>
      <c r="X711" s="9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1">
        <v>0</v>
      </c>
      <c r="Z711" s="7">
        <v>0</v>
      </c>
      <c r="AA711" t="s">
        <v>250</v>
      </c>
      <c r="AB711" t="s">
        <v>238</v>
      </c>
      <c r="AC711" t="s">
        <v>238</v>
      </c>
      <c r="AD711" s="2" t="s">
        <v>238</v>
      </c>
      <c r="AE711" s="2" t="s">
        <v>253</v>
      </c>
      <c r="AF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1" s="2" t="str">
        <f>SUBSTITUTE(SUBSTITUTE(PROPERTIES[[#This Row],[PURCHASECOST_VALUE]], "PURCHASECOST_", ""), "_VALUE", "")</f>
        <v>WAGON</v>
      </c>
      <c r="AI711" s="7" t="str" cm="1">
        <f t="array" ref="AI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1" s="43" t="b">
        <v>0</v>
      </c>
      <c r="AK711" s="8" t="b">
        <v>0</v>
      </c>
      <c r="BB711"/>
      <c r="BC711"/>
      <c r="BD711"/>
    </row>
    <row r="712" spans="1:56">
      <c r="A712" s="2" t="s">
        <v>215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5" t="str">
        <f>_xlfn.XLOOKUP(PROPERTIES[[#This Row],[VEHIDCODE]],CONTROL[VEHIDCODE],CONTROL[ENGLISH])</f>
        <v>6th Gen Car Transporter</v>
      </c>
      <c r="G712" s="45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8">
        <v>28</v>
      </c>
      <c r="R712">
        <v>0</v>
      </c>
      <c r="S712">
        <v>160</v>
      </c>
      <c r="T712" s="25">
        <v>0</v>
      </c>
      <c r="U712" s="24">
        <f>IFERROR(PROPERTIES[[#This Row],[TE_STARTING_KN]]/(PROPERTIES[[#This Row],[WEIGHT]]*9.81),0)</f>
        <v>0</v>
      </c>
      <c r="V712" s="24">
        <v>0.3</v>
      </c>
      <c r="W712" s="21">
        <f>ROUND(IF(IFERROR(PROPERTIES[[#This Row],[TE_COEFFICIENT_CALC]],0)=0,PROPERTIES[[#This Row],[TE_COEFFICIENT_MANUAL]],PROPERTIES[[#This Row],[TE_COEFFICIENT_CALC]]),3)</f>
        <v>0.3</v>
      </c>
      <c r="X712" s="9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1">
        <v>0</v>
      </c>
      <c r="Z712" s="7">
        <v>0</v>
      </c>
      <c r="AA712" t="s">
        <v>250</v>
      </c>
      <c r="AB712" t="s">
        <v>238</v>
      </c>
      <c r="AC712" t="s">
        <v>238</v>
      </c>
      <c r="AD712" s="2" t="s">
        <v>238</v>
      </c>
      <c r="AE712" s="2" t="s">
        <v>253</v>
      </c>
      <c r="AF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2" s="2" t="str">
        <f>SUBSTITUTE(SUBSTITUTE(PROPERTIES[[#This Row],[PURCHASECOST_VALUE]], "PURCHASECOST_", ""), "_VALUE", "")</f>
        <v>WAGON</v>
      </c>
      <c r="AI712" s="7" t="str" cm="1">
        <f t="array" ref="AI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2" s="43" t="b">
        <v>0</v>
      </c>
      <c r="AK712" s="8" t="b">
        <v>0</v>
      </c>
      <c r="BB712"/>
      <c r="BC712"/>
      <c r="BD712"/>
    </row>
    <row r="713" spans="1:56">
      <c r="A713" s="2" t="s">
        <v>216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5" t="str">
        <f>_xlfn.XLOOKUP(PROPERTIES[[#This Row],[VEHIDCODE]],CONTROL[VEHIDCODE],CONTROL[ENGLISH])</f>
        <v>6th Gen Container Carrier</v>
      </c>
      <c r="G713" s="45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8">
        <v>22</v>
      </c>
      <c r="R713">
        <v>0</v>
      </c>
      <c r="S713">
        <v>160</v>
      </c>
      <c r="T713" s="25">
        <v>0</v>
      </c>
      <c r="U713" s="24">
        <f>IFERROR(PROPERTIES[[#This Row],[TE_STARTING_KN]]/(PROPERTIES[[#This Row],[WEIGHT]]*9.81),0)</f>
        <v>0</v>
      </c>
      <c r="V713" s="24">
        <v>0.3</v>
      </c>
      <c r="W713" s="21">
        <f>ROUND(IF(IFERROR(PROPERTIES[[#This Row],[TE_COEFFICIENT_CALC]],0)=0,PROPERTIES[[#This Row],[TE_COEFFICIENT_MANUAL]],PROPERTIES[[#This Row],[TE_COEFFICIENT_CALC]]),3)</f>
        <v>0.3</v>
      </c>
      <c r="X713" s="9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1">
        <v>0</v>
      </c>
      <c r="Z713" s="7">
        <v>0</v>
      </c>
      <c r="AA713" t="s">
        <v>250</v>
      </c>
      <c r="AB713" t="s">
        <v>238</v>
      </c>
      <c r="AC713" t="s">
        <v>238</v>
      </c>
      <c r="AD713" s="2" t="s">
        <v>238</v>
      </c>
      <c r="AE713" s="2" t="s">
        <v>253</v>
      </c>
      <c r="AF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3" s="2" t="str">
        <f>SUBSTITUTE(SUBSTITUTE(PROPERTIES[[#This Row],[PURCHASECOST_VALUE]], "PURCHASECOST_", ""), "_VALUE", "")</f>
        <v>WAGON</v>
      </c>
      <c r="AI713" s="7" t="str" cm="1">
        <f t="array" ref="AI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3" s="43" t="b">
        <v>0</v>
      </c>
      <c r="AK713" s="8" t="b">
        <v>0</v>
      </c>
      <c r="BB713"/>
      <c r="BC713"/>
      <c r="BD713"/>
    </row>
    <row r="714" spans="1:56">
      <c r="A714" s="2" t="s">
        <v>217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5" t="str">
        <f>_xlfn.XLOOKUP(PROPERTIES[[#This Row],[VEHIDCODE]],CONTROL[VEHIDCODE],CONTROL[ENGLISH])</f>
        <v>6th Gen Centerbeam Flatcar</v>
      </c>
      <c r="G714" s="45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8">
        <v>40</v>
      </c>
      <c r="R714">
        <v>0</v>
      </c>
      <c r="S714">
        <v>160</v>
      </c>
      <c r="T714" s="25">
        <v>0</v>
      </c>
      <c r="U714" s="24">
        <f>IFERROR(PROPERTIES[[#This Row],[TE_STARTING_KN]]/(PROPERTIES[[#This Row],[WEIGHT]]*9.81),0)</f>
        <v>0</v>
      </c>
      <c r="V714" s="24">
        <v>0.3</v>
      </c>
      <c r="W714" s="21">
        <f>ROUND(IF(IFERROR(PROPERTIES[[#This Row],[TE_COEFFICIENT_CALC]],0)=0,PROPERTIES[[#This Row],[TE_COEFFICIENT_MANUAL]],PROPERTIES[[#This Row],[TE_COEFFICIENT_CALC]]),3)</f>
        <v>0.3</v>
      </c>
      <c r="X714" s="9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1">
        <v>0</v>
      </c>
      <c r="Z714" s="7">
        <v>0</v>
      </c>
      <c r="AA714" t="s">
        <v>250</v>
      </c>
      <c r="AB714" t="s">
        <v>238</v>
      </c>
      <c r="AC714" t="s">
        <v>238</v>
      </c>
      <c r="AD714" s="2" t="s">
        <v>238</v>
      </c>
      <c r="AE714" s="2" t="s">
        <v>253</v>
      </c>
      <c r="AF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4" s="2" t="str">
        <f>SUBSTITUTE(SUBSTITUTE(PROPERTIES[[#This Row],[PURCHASECOST_VALUE]], "PURCHASECOST_", ""), "_VALUE", "")</f>
        <v>WAGON</v>
      </c>
      <c r="AI714" s="7" t="str" cm="1">
        <f t="array" ref="AI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4" s="43" t="b">
        <v>0</v>
      </c>
      <c r="AK714" s="8" t="b">
        <v>0</v>
      </c>
      <c r="BB714"/>
      <c r="BC714"/>
      <c r="BD714"/>
    </row>
    <row r="715" spans="1:56">
      <c r="A715" s="2" t="s">
        <v>218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5" t="str">
        <f>_xlfn.XLOOKUP(PROPERTIES[[#This Row],[VEHIDCODE]],CONTROL[VEHIDCODE],CONTROL[ENGLISH])</f>
        <v>6th Gen Container Doublestack</v>
      </c>
      <c r="G715" s="45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8">
        <v>25</v>
      </c>
      <c r="R715">
        <v>0</v>
      </c>
      <c r="S715">
        <v>160</v>
      </c>
      <c r="T715" s="25">
        <v>0</v>
      </c>
      <c r="U715" s="24">
        <f>IFERROR(PROPERTIES[[#This Row],[TE_STARTING_KN]]/(PROPERTIES[[#This Row],[WEIGHT]]*9.81),0)</f>
        <v>0</v>
      </c>
      <c r="V715" s="24">
        <v>0.3</v>
      </c>
      <c r="W715" s="21">
        <f>ROUND(IF(IFERROR(PROPERTIES[[#This Row],[TE_COEFFICIENT_CALC]],0)=0,PROPERTIES[[#This Row],[TE_COEFFICIENT_MANUAL]],PROPERTIES[[#This Row],[TE_COEFFICIENT_CALC]]),3)</f>
        <v>0.3</v>
      </c>
      <c r="X715" s="9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1">
        <v>0</v>
      </c>
      <c r="Z715" s="7">
        <v>0</v>
      </c>
      <c r="AA715" t="s">
        <v>250</v>
      </c>
      <c r="AB715" t="s">
        <v>238</v>
      </c>
      <c r="AC715" t="s">
        <v>238</v>
      </c>
      <c r="AD715" s="2" t="s">
        <v>238</v>
      </c>
      <c r="AE715" s="2" t="s">
        <v>253</v>
      </c>
      <c r="AF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5" s="2" t="str">
        <f>SUBSTITUTE(SUBSTITUTE(PROPERTIES[[#This Row],[PURCHASECOST_VALUE]], "PURCHASECOST_", ""), "_VALUE", "")</f>
        <v>WAGON</v>
      </c>
      <c r="AI715" s="7" t="str" cm="1">
        <f t="array" ref="AI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5" s="43" t="b">
        <v>0</v>
      </c>
      <c r="AK715" s="8" t="b">
        <v>0</v>
      </c>
      <c r="BB715"/>
      <c r="BC715"/>
      <c r="BD715"/>
    </row>
    <row r="716" spans="1:56">
      <c r="A716" s="2" t="s">
        <v>219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5" t="str">
        <f>_xlfn.XLOOKUP(PROPERTIES[[#This Row],[VEHIDCODE]],CONTROL[VEHIDCODE],CONTROL[ENGLISH])</f>
        <v>6th Gen Superheavy Flatcar</v>
      </c>
      <c r="G716" s="45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8">
        <v>50</v>
      </c>
      <c r="R716">
        <v>0</v>
      </c>
      <c r="S716">
        <v>140</v>
      </c>
      <c r="T716" s="25">
        <v>0</v>
      </c>
      <c r="U716" s="24">
        <f>IFERROR(PROPERTIES[[#This Row],[TE_STARTING_KN]]/(PROPERTIES[[#This Row],[WEIGHT]]*9.81),0)</f>
        <v>0</v>
      </c>
      <c r="V716" s="24">
        <v>0.3</v>
      </c>
      <c r="W716" s="21">
        <f>ROUND(IF(IFERROR(PROPERTIES[[#This Row],[TE_COEFFICIENT_CALC]],0)=0,PROPERTIES[[#This Row],[TE_COEFFICIENT_MANUAL]],PROPERTIES[[#This Row],[TE_COEFFICIENT_CALC]]),3)</f>
        <v>0.3</v>
      </c>
      <c r="X716" s="9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1">
        <v>0</v>
      </c>
      <c r="Z716" s="7">
        <v>0</v>
      </c>
      <c r="AA716" t="s">
        <v>250</v>
      </c>
      <c r="AB716" t="s">
        <v>238</v>
      </c>
      <c r="AC716" t="s">
        <v>238</v>
      </c>
      <c r="AD716" s="2" t="s">
        <v>238</v>
      </c>
      <c r="AE716" s="2" t="s">
        <v>253</v>
      </c>
      <c r="AF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6" s="2" t="str">
        <f>SUBSTITUTE(SUBSTITUTE(PROPERTIES[[#This Row],[PURCHASECOST_VALUE]], "PURCHASECOST_", ""), "_VALUE", "")</f>
        <v>WAGON</v>
      </c>
      <c r="AI716" s="7" t="str" cm="1">
        <f t="array" ref="AI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6" s="43" t="b">
        <v>0</v>
      </c>
      <c r="AK716" s="8" t="b">
        <v>0</v>
      </c>
      <c r="BB716"/>
      <c r="BC716"/>
      <c r="BD716"/>
    </row>
    <row r="717" spans="1:56">
      <c r="A717" s="2" t="s">
        <v>234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5" t="str">
        <f>_xlfn.XLOOKUP(PROPERTIES[[#This Row],[VEHIDCODE]],CONTROL[VEHIDCODE],CONTROL[ENGLISH])</f>
        <v>Service Car [European Style]</v>
      </c>
      <c r="G717" s="45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8">
        <v>15</v>
      </c>
      <c r="R717">
        <v>0</v>
      </c>
      <c r="S717">
        <v>0</v>
      </c>
      <c r="T717" s="25">
        <v>0</v>
      </c>
      <c r="U717" s="24">
        <f>IFERROR(PROPERTIES[[#This Row],[TE_STARTING_KN]]/(PROPERTIES[[#This Row],[WEIGHT]]*9.81),0)</f>
        <v>0</v>
      </c>
      <c r="V717" s="24">
        <v>0.3</v>
      </c>
      <c r="W717" s="21">
        <f>ROUND(IF(IFERROR(PROPERTIES[[#This Row],[TE_COEFFICIENT_CALC]],0)=0,PROPERTIES[[#This Row],[TE_COEFFICIENT_MANUAL]],PROPERTIES[[#This Row],[TE_COEFFICIENT_CALC]]),3)</f>
        <v>0.3</v>
      </c>
      <c r="X717" s="9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1">
        <v>0</v>
      </c>
      <c r="Z717" s="7">
        <v>0</v>
      </c>
      <c r="AA717" t="s">
        <v>250</v>
      </c>
      <c r="AB717" t="s">
        <v>238</v>
      </c>
      <c r="AC717" t="s">
        <v>238</v>
      </c>
      <c r="AD717" s="2" t="s">
        <v>238</v>
      </c>
      <c r="AE717" s="2" t="s">
        <v>253</v>
      </c>
      <c r="AF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7" s="2" t="str">
        <f>SUBSTITUTE(SUBSTITUTE(PROPERTIES[[#This Row],[PURCHASECOST_VALUE]], "PURCHASECOST_", ""), "_VALUE", "")</f>
        <v>WAGON</v>
      </c>
      <c r="AI717" s="7" t="str" cm="1">
        <f t="array" ref="AI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7" s="43" t="b">
        <v>0</v>
      </c>
      <c r="AK717" s="8" t="b">
        <v>0</v>
      </c>
      <c r="BB717"/>
      <c r="BC717"/>
      <c r="BD717"/>
    </row>
    <row r="718" spans="1:56">
      <c r="A718" s="2" t="s">
        <v>235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5" t="str">
        <f>_xlfn.XLOOKUP(PROPERTIES[[#This Row],[VEHIDCODE]],CONTROL[VEHIDCODE],CONTROL[ENGLISH])</f>
        <v>Service Car [American Style]</v>
      </c>
      <c r="G718" s="45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8">
        <v>15</v>
      </c>
      <c r="R718">
        <v>0</v>
      </c>
      <c r="S718">
        <v>0</v>
      </c>
      <c r="T718" s="25">
        <v>0</v>
      </c>
      <c r="U718" s="24">
        <f>IFERROR(PROPERTIES[[#This Row],[TE_STARTING_KN]]/(PROPERTIES[[#This Row],[WEIGHT]]*9.81),0)</f>
        <v>0</v>
      </c>
      <c r="V718" s="24">
        <v>0.3</v>
      </c>
      <c r="W718" s="21">
        <f>ROUND(IF(IFERROR(PROPERTIES[[#This Row],[TE_COEFFICIENT_CALC]],0)=0,PROPERTIES[[#This Row],[TE_COEFFICIENT_MANUAL]],PROPERTIES[[#This Row],[TE_COEFFICIENT_CALC]]),3)</f>
        <v>0.3</v>
      </c>
      <c r="X718" s="9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1">
        <v>0</v>
      </c>
      <c r="Z718" s="7">
        <v>0</v>
      </c>
      <c r="AA718" t="s">
        <v>250</v>
      </c>
      <c r="AB718" t="s">
        <v>238</v>
      </c>
      <c r="AC718" t="s">
        <v>238</v>
      </c>
      <c r="AD718" s="2" t="s">
        <v>238</v>
      </c>
      <c r="AE718" s="2" t="s">
        <v>253</v>
      </c>
      <c r="AF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8" s="2" t="str">
        <f>SUBSTITUTE(SUBSTITUTE(PROPERTIES[[#This Row],[PURCHASECOST_VALUE]], "PURCHASECOST_", ""), "_VALUE", "")</f>
        <v>WAGON</v>
      </c>
      <c r="AI718" s="7" t="str" cm="1">
        <f t="array" ref="AI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8" s="43" t="b">
        <v>0</v>
      </c>
      <c r="AK718" s="8" t="b">
        <v>0</v>
      </c>
      <c r="BB718"/>
      <c r="BC718"/>
      <c r="BD718"/>
    </row>
    <row r="719" spans="1:56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5" t="str">
        <f>_xlfn.XLOOKUP(PROPERTIES[[#This Row],[VEHIDCODE]],CONTROL[VEHIDCODE],CONTROL[ENGLISH])</f>
        <v>Wooden 2-axle Compartment Coach</v>
      </c>
      <c r="G719" s="45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8">
        <v>5</v>
      </c>
      <c r="R719">
        <v>0</v>
      </c>
      <c r="S719">
        <v>40</v>
      </c>
      <c r="T719" s="25">
        <v>0</v>
      </c>
      <c r="U719" s="24">
        <f>IFERROR(PROPERTIES[[#This Row],[TE_STARTING_KN]]/(PROPERTIES[[#This Row],[WEIGHT]]*9.81),0)</f>
        <v>0</v>
      </c>
      <c r="V719" s="24">
        <v>0.3</v>
      </c>
      <c r="W719" s="21">
        <f>ROUND(IF(IFERROR(PROPERTIES[[#This Row],[TE_COEFFICIENT_CALC]],0)=0,PROPERTIES[[#This Row],[TE_COEFFICIENT_MANUAL]],PROPERTIES[[#This Row],[TE_COEFFICIENT_CALC]]),3)</f>
        <v>0.3</v>
      </c>
      <c r="X719" s="9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1">
        <v>0</v>
      </c>
      <c r="Z719" s="7">
        <v>0</v>
      </c>
      <c r="AA719" t="s">
        <v>2010</v>
      </c>
      <c r="AB719" t="s">
        <v>241</v>
      </c>
      <c r="AC719" t="s">
        <v>238</v>
      </c>
      <c r="AD719" s="2" t="s">
        <v>238</v>
      </c>
      <c r="AE719" s="2" t="s">
        <v>253</v>
      </c>
      <c r="AF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19" s="2" t="str">
        <f>SUBSTITUTE(SUBSTITUTE(PROPERTIES[[#This Row],[PURCHASECOST_VALUE]], "PURCHASECOST_", ""), "_VALUE", "")</f>
        <v>COACH</v>
      </c>
      <c r="AI719" s="7" t="str" cm="1">
        <f t="array" ref="AI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19" s="43" t="b">
        <v>0</v>
      </c>
      <c r="AK719" s="8" t="b">
        <v>0</v>
      </c>
      <c r="BB719"/>
      <c r="BC719"/>
      <c r="BD719"/>
    </row>
    <row r="720" spans="1:56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5" t="str">
        <f>_xlfn.XLOOKUP(PROPERTIES[[#This Row],[VEHIDCODE]],CONTROL[VEHIDCODE],CONTROL[ENGLISH])</f>
        <v>Wooden 2-axle Regional Coach</v>
      </c>
      <c r="G720" s="45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8">
        <v>8</v>
      </c>
      <c r="R720">
        <v>0</v>
      </c>
      <c r="S720">
        <v>65</v>
      </c>
      <c r="T720" s="25">
        <v>0</v>
      </c>
      <c r="U720" s="24">
        <f>IFERROR(PROPERTIES[[#This Row],[TE_STARTING_KN]]/(PROPERTIES[[#This Row],[WEIGHT]]*9.81),0)</f>
        <v>0</v>
      </c>
      <c r="V720" s="24">
        <v>0.3</v>
      </c>
      <c r="W720" s="21">
        <f>ROUND(IF(IFERROR(PROPERTIES[[#This Row],[TE_COEFFICIENT_CALC]],0)=0,PROPERTIES[[#This Row],[TE_COEFFICIENT_MANUAL]],PROPERTIES[[#This Row],[TE_COEFFICIENT_CALC]]),3)</f>
        <v>0.3</v>
      </c>
      <c r="X720" s="9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1">
        <v>0</v>
      </c>
      <c r="Z720" s="7">
        <v>0</v>
      </c>
      <c r="AA720" t="s">
        <v>250</v>
      </c>
      <c r="AB720" t="s">
        <v>238</v>
      </c>
      <c r="AC720" t="s">
        <v>238</v>
      </c>
      <c r="AD720" s="2" t="s">
        <v>238</v>
      </c>
      <c r="AE720" s="2" t="s">
        <v>253</v>
      </c>
      <c r="AF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0" s="2" t="str">
        <f>SUBSTITUTE(SUBSTITUTE(PROPERTIES[[#This Row],[PURCHASECOST_VALUE]], "PURCHASECOST_", ""), "_VALUE", "")</f>
        <v>COACH</v>
      </c>
      <c r="AI720" s="7" t="str" cm="1">
        <f t="array" ref="AI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0" s="43" t="b">
        <v>0</v>
      </c>
      <c r="AK720" s="8" t="b">
        <v>0</v>
      </c>
      <c r="BB720"/>
      <c r="BC720"/>
      <c r="BD720"/>
    </row>
    <row r="721" spans="1:56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5" t="str">
        <f>_xlfn.XLOOKUP(PROPERTIES[[#This Row],[VEHIDCODE]],CONTROL[VEHIDCODE],CONTROL[ENGLISH])</f>
        <v>Wooden 2-axle Mail Coach</v>
      </c>
      <c r="G721" s="45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8">
        <v>5</v>
      </c>
      <c r="R721">
        <v>0</v>
      </c>
      <c r="S721">
        <v>45</v>
      </c>
      <c r="T721" s="25">
        <v>0</v>
      </c>
      <c r="U721" s="24">
        <f>IFERROR(PROPERTIES[[#This Row],[TE_STARTING_KN]]/(PROPERTIES[[#This Row],[WEIGHT]]*9.81),0)</f>
        <v>0</v>
      </c>
      <c r="V721" s="24">
        <v>0.3</v>
      </c>
      <c r="W721" s="21">
        <f>ROUND(IF(IFERROR(PROPERTIES[[#This Row],[TE_COEFFICIENT_CALC]],0)=0,PROPERTIES[[#This Row],[TE_COEFFICIENT_MANUAL]],PROPERTIES[[#This Row],[TE_COEFFICIENT_CALC]]),3)</f>
        <v>0.3</v>
      </c>
      <c r="X721" s="9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1">
        <v>0</v>
      </c>
      <c r="Z721" s="7">
        <v>0</v>
      </c>
      <c r="AA721" t="s">
        <v>250</v>
      </c>
      <c r="AB721" t="s">
        <v>238</v>
      </c>
      <c r="AC721" t="s">
        <v>238</v>
      </c>
      <c r="AD721" s="2" t="s">
        <v>238</v>
      </c>
      <c r="AE721" s="2" t="s">
        <v>253</v>
      </c>
      <c r="AF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1" s="2" t="str">
        <f>SUBSTITUTE(SUBSTITUTE(PROPERTIES[[#This Row],[PURCHASECOST_VALUE]], "PURCHASECOST_", ""), "_VALUE", "")</f>
        <v>COACH</v>
      </c>
      <c r="AI721" s="7" t="str" cm="1">
        <f t="array" ref="AI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1" s="43" t="b">
        <v>0</v>
      </c>
      <c r="AK721" s="8" t="b">
        <v>0</v>
      </c>
      <c r="BB721"/>
      <c r="BC721"/>
      <c r="BD721"/>
    </row>
    <row r="722" spans="1:56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5" t="str">
        <f>_xlfn.XLOOKUP(PROPERTIES[[#This Row],[VEHIDCODE]],CONTROL[VEHIDCODE],CONTROL[ENGLISH])</f>
        <v>Clerestory Compartment Coach</v>
      </c>
      <c r="G722" s="45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8">
        <v>12</v>
      </c>
      <c r="R722">
        <v>0</v>
      </c>
      <c r="S722">
        <v>80</v>
      </c>
      <c r="T722" s="25">
        <v>0</v>
      </c>
      <c r="U722" s="24">
        <f>IFERROR(PROPERTIES[[#This Row],[TE_STARTING_KN]]/(PROPERTIES[[#This Row],[WEIGHT]]*9.81),0)</f>
        <v>0</v>
      </c>
      <c r="V722" s="24">
        <v>0.3</v>
      </c>
      <c r="W722" s="21">
        <f>ROUND(IF(IFERROR(PROPERTIES[[#This Row],[TE_COEFFICIENT_CALC]],0)=0,PROPERTIES[[#This Row],[TE_COEFFICIENT_MANUAL]],PROPERTIES[[#This Row],[TE_COEFFICIENT_CALC]]),3)</f>
        <v>0.3</v>
      </c>
      <c r="X722" s="9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1">
        <v>0</v>
      </c>
      <c r="Z722" s="7">
        <v>0</v>
      </c>
      <c r="AA722" t="s">
        <v>2010</v>
      </c>
      <c r="AB722" t="s">
        <v>241</v>
      </c>
      <c r="AC722" t="s">
        <v>238</v>
      </c>
      <c r="AD722" s="2" t="s">
        <v>238</v>
      </c>
      <c r="AE722" s="2" t="s">
        <v>253</v>
      </c>
      <c r="AF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2" s="2" t="str">
        <f>SUBSTITUTE(SUBSTITUTE(PROPERTIES[[#This Row],[PURCHASECOST_VALUE]], "PURCHASECOST_", ""), "_VALUE", "")</f>
        <v>COACH</v>
      </c>
      <c r="AI722" s="7" t="str" cm="1">
        <f t="array" ref="AI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2" s="43" t="b">
        <v>0</v>
      </c>
      <c r="AK722" s="8" t="b">
        <v>0</v>
      </c>
      <c r="BB722"/>
      <c r="BC722"/>
      <c r="BD722"/>
    </row>
    <row r="723" spans="1:56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5" t="str">
        <f>_xlfn.XLOOKUP(PROPERTIES[[#This Row],[VEHIDCODE]],CONTROL[VEHIDCODE],CONTROL[ENGLISH])</f>
        <v>Clerestory Regional Coach</v>
      </c>
      <c r="G723" s="45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8">
        <v>15</v>
      </c>
      <c r="R723">
        <v>0</v>
      </c>
      <c r="S723">
        <v>70</v>
      </c>
      <c r="T723" s="25">
        <v>0</v>
      </c>
      <c r="U723" s="24">
        <f>IFERROR(PROPERTIES[[#This Row],[TE_STARTING_KN]]/(PROPERTIES[[#This Row],[WEIGHT]]*9.81),0)</f>
        <v>0</v>
      </c>
      <c r="V723" s="24">
        <v>0.3</v>
      </c>
      <c r="W723" s="21">
        <f>ROUND(IF(IFERROR(PROPERTIES[[#This Row],[TE_COEFFICIENT_CALC]],0)=0,PROPERTIES[[#This Row],[TE_COEFFICIENT_MANUAL]],PROPERTIES[[#This Row],[TE_COEFFICIENT_CALC]]),3)</f>
        <v>0.3</v>
      </c>
      <c r="X723" s="9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1">
        <v>0</v>
      </c>
      <c r="Z723" s="7">
        <v>0</v>
      </c>
      <c r="AA723" t="s">
        <v>250</v>
      </c>
      <c r="AB723" t="s">
        <v>238</v>
      </c>
      <c r="AC723" t="s">
        <v>238</v>
      </c>
      <c r="AD723" s="2" t="s">
        <v>238</v>
      </c>
      <c r="AE723" s="2" t="s">
        <v>253</v>
      </c>
      <c r="AF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3" s="2" t="str">
        <f>SUBSTITUTE(SUBSTITUTE(PROPERTIES[[#This Row],[PURCHASECOST_VALUE]], "PURCHASECOST_", ""), "_VALUE", "")</f>
        <v>COACH</v>
      </c>
      <c r="AI723" s="7" t="str" cm="1">
        <f t="array" ref="AI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3" s="43" t="b">
        <v>0</v>
      </c>
      <c r="AK723" s="8" t="b">
        <v>0</v>
      </c>
      <c r="BB723"/>
      <c r="BC723"/>
      <c r="BD723"/>
    </row>
    <row r="724" spans="1:56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5" t="str">
        <f>_xlfn.XLOOKUP(PROPERTIES[[#This Row],[VEHIDCODE]],CONTROL[VEHIDCODE],CONTROL[ENGLISH])</f>
        <v>Clerestory Mail Coach</v>
      </c>
      <c r="G724" s="45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8">
        <v>13.5</v>
      </c>
      <c r="R724">
        <v>0</v>
      </c>
      <c r="S724">
        <v>80</v>
      </c>
      <c r="T724" s="25">
        <v>0</v>
      </c>
      <c r="U724" s="24">
        <f>IFERROR(PROPERTIES[[#This Row],[TE_STARTING_KN]]/(PROPERTIES[[#This Row],[WEIGHT]]*9.81),0)</f>
        <v>0</v>
      </c>
      <c r="V724" s="24">
        <v>0.3</v>
      </c>
      <c r="W724" s="21">
        <f>ROUND(IF(IFERROR(PROPERTIES[[#This Row],[TE_COEFFICIENT_CALC]],0)=0,PROPERTIES[[#This Row],[TE_COEFFICIENT_MANUAL]],PROPERTIES[[#This Row],[TE_COEFFICIENT_CALC]]),3)</f>
        <v>0.3</v>
      </c>
      <c r="X724" s="9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1">
        <v>0</v>
      </c>
      <c r="Z724" s="7">
        <v>0</v>
      </c>
      <c r="AA724" t="s">
        <v>250</v>
      </c>
      <c r="AB724" t="s">
        <v>238</v>
      </c>
      <c r="AC724" t="s">
        <v>238</v>
      </c>
      <c r="AD724" s="2" t="s">
        <v>238</v>
      </c>
      <c r="AE724" s="2" t="s">
        <v>253</v>
      </c>
      <c r="AF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4" s="2" t="str">
        <f>SUBSTITUTE(SUBSTITUTE(PROPERTIES[[#This Row],[PURCHASECOST_VALUE]], "PURCHASECOST_", ""), "_VALUE", "")</f>
        <v>COACH</v>
      </c>
      <c r="AI724" s="7" t="str" cm="1">
        <f t="array" ref="AI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4" s="43" t="b">
        <v>0</v>
      </c>
      <c r="AK724" s="8" t="b">
        <v>0</v>
      </c>
      <c r="BB724"/>
      <c r="BC724"/>
      <c r="BD724"/>
    </row>
    <row r="725" spans="1:56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5" t="str">
        <f>_xlfn.XLOOKUP(PROPERTIES[[#This Row],[VEHIDCODE]],CONTROL[VEHIDCODE],CONTROL[ENGLISH])</f>
        <v>Wooden 3-axle Compartment Coach</v>
      </c>
      <c r="G725" s="45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8">
        <v>16.5</v>
      </c>
      <c r="R725">
        <v>0</v>
      </c>
      <c r="S725">
        <v>90</v>
      </c>
      <c r="T725" s="25">
        <v>0</v>
      </c>
      <c r="U725" s="24">
        <f>IFERROR(PROPERTIES[[#This Row],[TE_STARTING_KN]]/(PROPERTIES[[#This Row],[WEIGHT]]*9.81),0)</f>
        <v>0</v>
      </c>
      <c r="V725" s="24">
        <v>0.3</v>
      </c>
      <c r="W725" s="21">
        <f>ROUND(IF(IFERROR(PROPERTIES[[#This Row],[TE_COEFFICIENT_CALC]],0)=0,PROPERTIES[[#This Row],[TE_COEFFICIENT_MANUAL]],PROPERTIES[[#This Row],[TE_COEFFICIENT_CALC]]),3)</f>
        <v>0.3</v>
      </c>
      <c r="X725" s="9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1">
        <v>0</v>
      </c>
      <c r="Z725" s="7">
        <v>0</v>
      </c>
      <c r="AA725" t="s">
        <v>2010</v>
      </c>
      <c r="AB725" t="s">
        <v>241</v>
      </c>
      <c r="AC725" t="s">
        <v>238</v>
      </c>
      <c r="AD725" s="2" t="s">
        <v>238</v>
      </c>
      <c r="AE725" s="2" t="s">
        <v>253</v>
      </c>
      <c r="AF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5" s="2" t="str">
        <f>SUBSTITUTE(SUBSTITUTE(PROPERTIES[[#This Row],[PURCHASECOST_VALUE]], "PURCHASECOST_", ""), "_VALUE", "")</f>
        <v>COACH</v>
      </c>
      <c r="AI725" s="7" t="str" cm="1">
        <f t="array" ref="AI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5" s="43" t="b">
        <v>0</v>
      </c>
      <c r="AK725" s="8" t="b">
        <v>0</v>
      </c>
      <c r="BB725"/>
      <c r="BC725"/>
      <c r="BD725"/>
    </row>
    <row r="726" spans="1:56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5" t="str">
        <f>_xlfn.XLOOKUP(PROPERTIES[[#This Row],[VEHIDCODE]],CONTROL[VEHIDCODE],CONTROL[ENGLISH])</f>
        <v>Wooden 3-axle Regional Coach</v>
      </c>
      <c r="G726" s="45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8">
        <v>18.5</v>
      </c>
      <c r="R726">
        <v>0</v>
      </c>
      <c r="S726">
        <v>80</v>
      </c>
      <c r="T726" s="25">
        <v>0</v>
      </c>
      <c r="U726" s="24">
        <f>IFERROR(PROPERTIES[[#This Row],[TE_STARTING_KN]]/(PROPERTIES[[#This Row],[WEIGHT]]*9.81),0)</f>
        <v>0</v>
      </c>
      <c r="V726" s="24">
        <v>0.3</v>
      </c>
      <c r="W726" s="21">
        <f>ROUND(IF(IFERROR(PROPERTIES[[#This Row],[TE_COEFFICIENT_CALC]],0)=0,PROPERTIES[[#This Row],[TE_COEFFICIENT_MANUAL]],PROPERTIES[[#This Row],[TE_COEFFICIENT_CALC]]),3)</f>
        <v>0.3</v>
      </c>
      <c r="X726" s="9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1">
        <v>0</v>
      </c>
      <c r="Z726" s="7">
        <v>0</v>
      </c>
      <c r="AA726" t="s">
        <v>2010</v>
      </c>
      <c r="AB726" t="s">
        <v>241</v>
      </c>
      <c r="AC726" t="s">
        <v>238</v>
      </c>
      <c r="AD726" s="2" t="s">
        <v>238</v>
      </c>
      <c r="AE726" s="2" t="s">
        <v>253</v>
      </c>
      <c r="AF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6" s="2" t="str">
        <f>SUBSTITUTE(SUBSTITUTE(PROPERTIES[[#This Row],[PURCHASECOST_VALUE]], "PURCHASECOST_", ""), "_VALUE", "")</f>
        <v>COACH</v>
      </c>
      <c r="AI726" s="7" t="str" cm="1">
        <f t="array" ref="AI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6" s="43" t="b">
        <v>0</v>
      </c>
      <c r="AK726" s="8" t="b">
        <v>0</v>
      </c>
      <c r="BB726"/>
      <c r="BC726"/>
      <c r="BD726"/>
    </row>
    <row r="727" spans="1:56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5" t="str">
        <f>_xlfn.XLOOKUP(PROPERTIES[[#This Row],[VEHIDCODE]],CONTROL[VEHIDCODE],CONTROL[ENGLISH])</f>
        <v>Wooden 3-axle Mail Coach</v>
      </c>
      <c r="G727" s="45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8">
        <v>17.5</v>
      </c>
      <c r="R727">
        <v>0</v>
      </c>
      <c r="S727">
        <v>95</v>
      </c>
      <c r="T727" s="25">
        <v>0</v>
      </c>
      <c r="U727" s="24">
        <f>IFERROR(PROPERTIES[[#This Row],[TE_STARTING_KN]]/(PROPERTIES[[#This Row],[WEIGHT]]*9.81),0)</f>
        <v>0</v>
      </c>
      <c r="V727" s="24">
        <v>0.3</v>
      </c>
      <c r="W727" s="21">
        <f>ROUND(IF(IFERROR(PROPERTIES[[#This Row],[TE_COEFFICIENT_CALC]],0)=0,PROPERTIES[[#This Row],[TE_COEFFICIENT_MANUAL]],PROPERTIES[[#This Row],[TE_COEFFICIENT_CALC]]),3)</f>
        <v>0.3</v>
      </c>
      <c r="X727" s="9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1">
        <v>0</v>
      </c>
      <c r="Z727" s="7">
        <v>0</v>
      </c>
      <c r="AA727" t="s">
        <v>2010</v>
      </c>
      <c r="AB727" t="s">
        <v>241</v>
      </c>
      <c r="AC727" t="s">
        <v>238</v>
      </c>
      <c r="AD727" s="2" t="s">
        <v>238</v>
      </c>
      <c r="AE727" s="2" t="s">
        <v>253</v>
      </c>
      <c r="AF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7" s="2" t="str">
        <f>SUBSTITUTE(SUBSTITUTE(PROPERTIES[[#This Row],[PURCHASECOST_VALUE]], "PURCHASECOST_", ""), "_VALUE", "")</f>
        <v>COACH</v>
      </c>
      <c r="AI727" s="7" t="str" cm="1">
        <f t="array" ref="AI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7" s="43" t="b">
        <v>0</v>
      </c>
      <c r="AK727" s="8" t="b">
        <v>0</v>
      </c>
      <c r="BB727"/>
      <c r="BC727"/>
      <c r="BD727"/>
    </row>
    <row r="728" spans="1:56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5" t="str">
        <f>_xlfn.XLOOKUP(PROPERTIES[[#This Row],[VEHIDCODE]],CONTROL[VEHIDCODE],CONTROL[ENGLISH])</f>
        <v>Heavyweight Intercity Coach</v>
      </c>
      <c r="G728" s="45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8">
        <v>60</v>
      </c>
      <c r="R728">
        <v>0</v>
      </c>
      <c r="S728">
        <v>180</v>
      </c>
      <c r="T728" s="25">
        <v>0</v>
      </c>
      <c r="U728" s="24">
        <f>IFERROR(PROPERTIES[[#This Row],[TE_STARTING_KN]]/(PROPERTIES[[#This Row],[WEIGHT]]*9.81),0)</f>
        <v>0</v>
      </c>
      <c r="V728" s="24">
        <v>0.3</v>
      </c>
      <c r="W728" s="21">
        <f>ROUND(IF(IFERROR(PROPERTIES[[#This Row],[TE_COEFFICIENT_CALC]],0)=0,PROPERTIES[[#This Row],[TE_COEFFICIENT_MANUAL]],PROPERTIES[[#This Row],[TE_COEFFICIENT_CALC]]),3)</f>
        <v>0.3</v>
      </c>
      <c r="X728" s="9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1">
        <v>0</v>
      </c>
      <c r="Z728" s="7">
        <v>0</v>
      </c>
      <c r="AA728" t="s">
        <v>249</v>
      </c>
      <c r="AB728" t="s">
        <v>241</v>
      </c>
      <c r="AC728" t="s">
        <v>238</v>
      </c>
      <c r="AD728" s="2" t="s">
        <v>238</v>
      </c>
      <c r="AE728" s="2" t="s">
        <v>253</v>
      </c>
      <c r="AF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8" s="2" t="str">
        <f>SUBSTITUTE(SUBSTITUTE(PROPERTIES[[#This Row],[PURCHASECOST_VALUE]], "PURCHASECOST_", ""), "_VALUE", "")</f>
        <v>COACH</v>
      </c>
      <c r="AI728" s="7" t="str" cm="1">
        <f t="array" ref="AI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28" s="43" t="b">
        <v>0</v>
      </c>
      <c r="AK728" s="8" t="b">
        <v>0</v>
      </c>
      <c r="BB728"/>
      <c r="BC728"/>
      <c r="BD728"/>
    </row>
    <row r="729" spans="1:56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5" t="str">
        <f>_xlfn.XLOOKUP(PROPERTIES[[#This Row],[VEHIDCODE]],CONTROL[VEHIDCODE],CONTROL[ENGLISH])</f>
        <v>Heavyweight Mail Coach</v>
      </c>
      <c r="G729" s="45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8">
        <v>58</v>
      </c>
      <c r="R729">
        <v>0</v>
      </c>
      <c r="S729">
        <v>180</v>
      </c>
      <c r="T729" s="25">
        <v>0</v>
      </c>
      <c r="U729" s="24">
        <f>IFERROR(PROPERTIES[[#This Row],[TE_STARTING_KN]]/(PROPERTIES[[#This Row],[WEIGHT]]*9.81),0)</f>
        <v>0</v>
      </c>
      <c r="V729" s="24">
        <v>0.3</v>
      </c>
      <c r="W729" s="21">
        <f>ROUND(IF(IFERROR(PROPERTIES[[#This Row],[TE_COEFFICIENT_CALC]],0)=0,PROPERTIES[[#This Row],[TE_COEFFICIENT_MANUAL]],PROPERTIES[[#This Row],[TE_COEFFICIENT_CALC]]),3)</f>
        <v>0.3</v>
      </c>
      <c r="X729" s="9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1">
        <v>0</v>
      </c>
      <c r="Z729" s="7">
        <v>0</v>
      </c>
      <c r="AA729" t="s">
        <v>249</v>
      </c>
      <c r="AB729" t="s">
        <v>241</v>
      </c>
      <c r="AC729" t="s">
        <v>238</v>
      </c>
      <c r="AD729" s="2" t="s">
        <v>238</v>
      </c>
      <c r="AE729" s="2" t="s">
        <v>253</v>
      </c>
      <c r="AF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9" s="2" t="str">
        <f>SUBSTITUTE(SUBSTITUTE(PROPERTIES[[#This Row],[PURCHASECOST_VALUE]], "PURCHASECOST_", ""), "_VALUE", "")</f>
        <v>COACH</v>
      </c>
      <c r="AI729" s="7" t="str" cm="1">
        <f t="array" ref="AI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9" s="43" t="b">
        <v>0</v>
      </c>
      <c r="AK729" s="8" t="b">
        <v>0</v>
      </c>
      <c r="BB729"/>
      <c r="BC729"/>
      <c r="BD729"/>
    </row>
    <row r="730" spans="1:56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5" t="str">
        <f>_xlfn.XLOOKUP(PROPERTIES[[#This Row],[VEHIDCODE]],CONTROL[VEHIDCODE],CONTROL[ENGLISH])</f>
        <v>Steel Intercity Coach</v>
      </c>
      <c r="G730" s="45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8">
        <v>48</v>
      </c>
      <c r="R730">
        <v>0</v>
      </c>
      <c r="S730">
        <v>120</v>
      </c>
      <c r="T730" s="25">
        <v>0</v>
      </c>
      <c r="U730" s="24">
        <f>IFERROR(PROPERTIES[[#This Row],[TE_STARTING_KN]]/(PROPERTIES[[#This Row],[WEIGHT]]*9.81),0)</f>
        <v>0</v>
      </c>
      <c r="V730" s="24">
        <v>0.3</v>
      </c>
      <c r="W730" s="21">
        <f>ROUND(IF(IFERROR(PROPERTIES[[#This Row],[TE_COEFFICIENT_CALC]],0)=0,PROPERTIES[[#This Row],[TE_COEFFICIENT_MANUAL]],PROPERTIES[[#This Row],[TE_COEFFICIENT_CALC]]),3)</f>
        <v>0.3</v>
      </c>
      <c r="X730" s="9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1">
        <v>0</v>
      </c>
      <c r="Z730" s="7">
        <v>0</v>
      </c>
      <c r="AA730" t="s">
        <v>2010</v>
      </c>
      <c r="AB730" t="s">
        <v>241</v>
      </c>
      <c r="AC730" t="s">
        <v>238</v>
      </c>
      <c r="AD730" s="2" t="s">
        <v>238</v>
      </c>
      <c r="AE730" s="2" t="s">
        <v>253</v>
      </c>
      <c r="AF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0" s="2" t="str">
        <f>SUBSTITUTE(SUBSTITUTE(PROPERTIES[[#This Row],[PURCHASECOST_VALUE]], "PURCHASECOST_", ""), "_VALUE", "")</f>
        <v>COACH</v>
      </c>
      <c r="AI730" s="7" t="str" cm="1">
        <f t="array" ref="AI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0" s="43" t="b">
        <v>0</v>
      </c>
      <c r="AK730" s="8" t="b">
        <v>0</v>
      </c>
      <c r="BB730"/>
      <c r="BC730"/>
      <c r="BD730"/>
    </row>
    <row r="731" spans="1:56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5" t="str">
        <f>_xlfn.XLOOKUP(PROPERTIES[[#This Row],[VEHIDCODE]],CONTROL[VEHIDCODE],CONTROL[ENGLISH])</f>
        <v>Steel Compartment Coach</v>
      </c>
      <c r="G731" s="45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8">
        <v>40</v>
      </c>
      <c r="R731">
        <v>0</v>
      </c>
      <c r="S731">
        <v>120</v>
      </c>
      <c r="T731" s="25">
        <v>0</v>
      </c>
      <c r="U731" s="24">
        <f>IFERROR(PROPERTIES[[#This Row],[TE_STARTING_KN]]/(PROPERTIES[[#This Row],[WEIGHT]]*9.81),0)</f>
        <v>0</v>
      </c>
      <c r="V731" s="24">
        <v>0.3</v>
      </c>
      <c r="W731" s="21">
        <f>ROUND(IF(IFERROR(PROPERTIES[[#This Row],[TE_COEFFICIENT_CALC]],0)=0,PROPERTIES[[#This Row],[TE_COEFFICIENT_MANUAL]],PROPERTIES[[#This Row],[TE_COEFFICIENT_CALC]]),3)</f>
        <v>0.3</v>
      </c>
      <c r="X731" s="9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1">
        <v>0</v>
      </c>
      <c r="Z731" s="7">
        <v>0</v>
      </c>
      <c r="AA731" t="s">
        <v>2010</v>
      </c>
      <c r="AB731" t="s">
        <v>241</v>
      </c>
      <c r="AC731" t="s">
        <v>238</v>
      </c>
      <c r="AD731" s="2" t="s">
        <v>238</v>
      </c>
      <c r="AE731" s="2" t="s">
        <v>253</v>
      </c>
      <c r="AF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1" s="2" t="str">
        <f>SUBSTITUTE(SUBSTITUTE(PROPERTIES[[#This Row],[PURCHASECOST_VALUE]], "PURCHASECOST_", ""), "_VALUE", "")</f>
        <v>COACH</v>
      </c>
      <c r="AI731" s="7" t="str" cm="1">
        <f t="array" ref="AI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1" s="43" t="b">
        <v>0</v>
      </c>
      <c r="AK731" s="8" t="b">
        <v>0</v>
      </c>
      <c r="BB731"/>
      <c r="BC731"/>
      <c r="BD731"/>
    </row>
    <row r="732" spans="1:56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5" t="str">
        <f>_xlfn.XLOOKUP(PROPERTIES[[#This Row],[VEHIDCODE]],CONTROL[VEHIDCODE],CONTROL[ENGLISH])</f>
        <v>Steel Regional Coach</v>
      </c>
      <c r="G732" s="45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8">
        <v>40</v>
      </c>
      <c r="R732">
        <v>0</v>
      </c>
      <c r="S732">
        <v>100</v>
      </c>
      <c r="T732" s="25">
        <v>0</v>
      </c>
      <c r="U732" s="24">
        <f>IFERROR(PROPERTIES[[#This Row],[TE_STARTING_KN]]/(PROPERTIES[[#This Row],[WEIGHT]]*9.81),0)</f>
        <v>0</v>
      </c>
      <c r="V732" s="24">
        <v>0.3</v>
      </c>
      <c r="W732" s="21">
        <f>ROUND(IF(IFERROR(PROPERTIES[[#This Row],[TE_COEFFICIENT_CALC]],0)=0,PROPERTIES[[#This Row],[TE_COEFFICIENT_MANUAL]],PROPERTIES[[#This Row],[TE_COEFFICIENT_CALC]]),3)</f>
        <v>0.3</v>
      </c>
      <c r="X732" s="9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1">
        <v>0</v>
      </c>
      <c r="Z732" s="7">
        <v>0</v>
      </c>
      <c r="AA732" t="s">
        <v>2010</v>
      </c>
      <c r="AB732" t="s">
        <v>241</v>
      </c>
      <c r="AC732" t="s">
        <v>238</v>
      </c>
      <c r="AD732" s="2" t="s">
        <v>238</v>
      </c>
      <c r="AE732" s="2" t="s">
        <v>253</v>
      </c>
      <c r="AF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2" s="2" t="str">
        <f>SUBSTITUTE(SUBSTITUTE(PROPERTIES[[#This Row],[PURCHASECOST_VALUE]], "PURCHASECOST_", ""), "_VALUE", "")</f>
        <v>COACH</v>
      </c>
      <c r="AI732" s="7" t="str" cm="1">
        <f t="array" ref="AI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2" s="43" t="b">
        <v>0</v>
      </c>
      <c r="AK732" s="8" t="b">
        <v>0</v>
      </c>
      <c r="BB732"/>
      <c r="BC732"/>
      <c r="BD732"/>
    </row>
    <row r="733" spans="1:56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5" t="str">
        <f>_xlfn.XLOOKUP(PROPERTIES[[#This Row],[VEHIDCODE]],CONTROL[VEHIDCODE],CONTROL[ENGLISH])</f>
        <v>Steel Mail Coach</v>
      </c>
      <c r="G733" s="45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8">
        <v>44</v>
      </c>
      <c r="R733">
        <v>0</v>
      </c>
      <c r="S733">
        <v>120</v>
      </c>
      <c r="T733" s="25">
        <v>0</v>
      </c>
      <c r="U733" s="24">
        <f>IFERROR(PROPERTIES[[#This Row],[TE_STARTING_KN]]/(PROPERTIES[[#This Row],[WEIGHT]]*9.81),0)</f>
        <v>0</v>
      </c>
      <c r="V733" s="24">
        <v>0.3</v>
      </c>
      <c r="W733" s="21">
        <f>ROUND(IF(IFERROR(PROPERTIES[[#This Row],[TE_COEFFICIENT_CALC]],0)=0,PROPERTIES[[#This Row],[TE_COEFFICIENT_MANUAL]],PROPERTIES[[#This Row],[TE_COEFFICIENT_CALC]]),3)</f>
        <v>0.3</v>
      </c>
      <c r="X733" s="9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1">
        <v>0</v>
      </c>
      <c r="Z733" s="7">
        <v>0</v>
      </c>
      <c r="AA733" t="s">
        <v>2010</v>
      </c>
      <c r="AB733" t="s">
        <v>241</v>
      </c>
      <c r="AC733" t="s">
        <v>238</v>
      </c>
      <c r="AD733" s="2" t="s">
        <v>238</v>
      </c>
      <c r="AE733" s="2" t="s">
        <v>253</v>
      </c>
      <c r="AF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3" s="2" t="str">
        <f>SUBSTITUTE(SUBSTITUTE(PROPERTIES[[#This Row],[PURCHASECOST_VALUE]], "PURCHASECOST_", ""), "_VALUE", "")</f>
        <v>COACH</v>
      </c>
      <c r="AI733" s="7" t="str" cm="1">
        <f t="array" ref="AI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3" s="43" t="b">
        <v>0</v>
      </c>
      <c r="AK733" s="8" t="b">
        <v>0</v>
      </c>
      <c r="BB733"/>
      <c r="BC733"/>
      <c r="BD733"/>
    </row>
    <row r="734" spans="1:56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5" t="str">
        <f>_xlfn.XLOOKUP(PROPERTIES[[#This Row],[VEHIDCODE]],CONTROL[VEHIDCODE],CONTROL[ENGLISH])</f>
        <v>Steel 2-axle Compartment Coach</v>
      </c>
      <c r="G734" s="45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8">
        <v>21</v>
      </c>
      <c r="R734">
        <v>0</v>
      </c>
      <c r="S734">
        <v>90</v>
      </c>
      <c r="T734" s="25">
        <v>0</v>
      </c>
      <c r="U734" s="24">
        <f>IFERROR(PROPERTIES[[#This Row],[TE_STARTING_KN]]/(PROPERTIES[[#This Row],[WEIGHT]]*9.81),0)</f>
        <v>0</v>
      </c>
      <c r="V734" s="24">
        <v>0.3</v>
      </c>
      <c r="W734" s="21">
        <f>ROUND(IF(IFERROR(PROPERTIES[[#This Row],[TE_COEFFICIENT_CALC]],0)=0,PROPERTIES[[#This Row],[TE_COEFFICIENT_MANUAL]],PROPERTIES[[#This Row],[TE_COEFFICIENT_CALC]]),3)</f>
        <v>0.3</v>
      </c>
      <c r="X734" s="9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1">
        <v>0</v>
      </c>
      <c r="Z734" s="7">
        <v>0</v>
      </c>
      <c r="AA734" t="s">
        <v>2010</v>
      </c>
      <c r="AB734" t="s">
        <v>241</v>
      </c>
      <c r="AC734" t="s">
        <v>238</v>
      </c>
      <c r="AD734" s="2" t="s">
        <v>238</v>
      </c>
      <c r="AE734" s="2" t="s">
        <v>253</v>
      </c>
      <c r="AF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4" s="2" t="str">
        <f>SUBSTITUTE(SUBSTITUTE(PROPERTIES[[#This Row],[PURCHASECOST_VALUE]], "PURCHASECOST_", ""), "_VALUE", "")</f>
        <v>COACH</v>
      </c>
      <c r="AI734" s="7" t="str" cm="1">
        <f t="array" ref="AI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4" s="43" t="b">
        <v>0</v>
      </c>
      <c r="AK734" s="8" t="b">
        <v>0</v>
      </c>
      <c r="BB734"/>
      <c r="BC734"/>
      <c r="BD734"/>
    </row>
    <row r="735" spans="1:56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5" t="str">
        <f>_xlfn.XLOOKUP(PROPERTIES[[#This Row],[VEHIDCODE]],CONTROL[VEHIDCODE],CONTROL[ENGLISH])</f>
        <v>Steel 2-axle Regional Coach</v>
      </c>
      <c r="G735" s="45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8">
        <v>22</v>
      </c>
      <c r="R735">
        <v>0</v>
      </c>
      <c r="S735">
        <v>90</v>
      </c>
      <c r="T735" s="25">
        <v>0</v>
      </c>
      <c r="U735" s="24">
        <f>IFERROR(PROPERTIES[[#This Row],[TE_STARTING_KN]]/(PROPERTIES[[#This Row],[WEIGHT]]*9.81),0)</f>
        <v>0</v>
      </c>
      <c r="V735" s="24">
        <v>0.3</v>
      </c>
      <c r="W735" s="21">
        <f>ROUND(IF(IFERROR(PROPERTIES[[#This Row],[TE_COEFFICIENT_CALC]],0)=0,PROPERTIES[[#This Row],[TE_COEFFICIENT_MANUAL]],PROPERTIES[[#This Row],[TE_COEFFICIENT_CALC]]),3)</f>
        <v>0.3</v>
      </c>
      <c r="X735" s="9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1">
        <v>0</v>
      </c>
      <c r="Z735" s="7">
        <v>0</v>
      </c>
      <c r="AA735" t="s">
        <v>250</v>
      </c>
      <c r="AB735" t="s">
        <v>238</v>
      </c>
      <c r="AC735" t="s">
        <v>238</v>
      </c>
      <c r="AD735" s="2" t="s">
        <v>238</v>
      </c>
      <c r="AE735" s="2" t="s">
        <v>253</v>
      </c>
      <c r="AF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5" s="2" t="str">
        <f>SUBSTITUTE(SUBSTITUTE(PROPERTIES[[#This Row],[PURCHASECOST_VALUE]], "PURCHASECOST_", ""), "_VALUE", "")</f>
        <v>COACH</v>
      </c>
      <c r="AI735" s="7" t="str" cm="1">
        <f t="array" ref="AI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5" s="43" t="b">
        <v>0</v>
      </c>
      <c r="AK735" s="8" t="b">
        <v>0</v>
      </c>
      <c r="BB735"/>
      <c r="BC735"/>
      <c r="BD735"/>
    </row>
    <row r="736" spans="1:56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5" t="str">
        <f>_xlfn.XLOOKUP(PROPERTIES[[#This Row],[VEHIDCODE]],CONTROL[VEHIDCODE],CONTROL[ENGLISH])</f>
        <v>Steel 2-axle Mail Coach</v>
      </c>
      <c r="G736" s="45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8">
        <v>19.5</v>
      </c>
      <c r="R736">
        <v>0</v>
      </c>
      <c r="S736">
        <v>90</v>
      </c>
      <c r="T736" s="25">
        <v>0</v>
      </c>
      <c r="U736" s="24">
        <f>IFERROR(PROPERTIES[[#This Row],[TE_STARTING_KN]]/(PROPERTIES[[#This Row],[WEIGHT]]*9.81),0)</f>
        <v>0</v>
      </c>
      <c r="V736" s="24">
        <v>0.3</v>
      </c>
      <c r="W736" s="21">
        <f>ROUND(IF(IFERROR(PROPERTIES[[#This Row],[TE_COEFFICIENT_CALC]],0)=0,PROPERTIES[[#This Row],[TE_COEFFICIENT_MANUAL]],PROPERTIES[[#This Row],[TE_COEFFICIENT_CALC]]),3)</f>
        <v>0.3</v>
      </c>
      <c r="X736" s="9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1">
        <v>0</v>
      </c>
      <c r="Z736" s="7">
        <v>0</v>
      </c>
      <c r="AA736" t="s">
        <v>250</v>
      </c>
      <c r="AB736" t="s">
        <v>238</v>
      </c>
      <c r="AC736" t="s">
        <v>238</v>
      </c>
      <c r="AD736" s="2" t="s">
        <v>238</v>
      </c>
      <c r="AE736" s="2" t="s">
        <v>253</v>
      </c>
      <c r="AF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6" s="2" t="str">
        <f>SUBSTITUTE(SUBSTITUTE(PROPERTIES[[#This Row],[PURCHASECOST_VALUE]], "PURCHASECOST_", ""), "_VALUE", "")</f>
        <v>COACH</v>
      </c>
      <c r="AI736" s="7" t="str" cm="1">
        <f t="array" ref="AI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6" s="43" t="b">
        <v>0</v>
      </c>
      <c r="AK736" s="8" t="b">
        <v>0</v>
      </c>
      <c r="BB736"/>
      <c r="BC736"/>
      <c r="BD736"/>
    </row>
    <row r="737" spans="1:56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5" t="str">
        <f>_xlfn.XLOOKUP(PROPERTIES[[#This Row],[VEHIDCODE]],CONTROL[VEHIDCODE],CONTROL[ENGLISH])</f>
        <v>Steel 3-axle Compartment Coach</v>
      </c>
      <c r="G737" s="45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8">
        <v>27</v>
      </c>
      <c r="R737">
        <v>0</v>
      </c>
      <c r="S737">
        <v>90</v>
      </c>
      <c r="T737" s="25">
        <v>0</v>
      </c>
      <c r="U737" s="24">
        <f>IFERROR(PROPERTIES[[#This Row],[TE_STARTING_KN]]/(PROPERTIES[[#This Row],[WEIGHT]]*9.81),0)</f>
        <v>0</v>
      </c>
      <c r="V737" s="24">
        <v>0.3</v>
      </c>
      <c r="W737" s="21">
        <f>ROUND(IF(IFERROR(PROPERTIES[[#This Row],[TE_COEFFICIENT_CALC]],0)=0,PROPERTIES[[#This Row],[TE_COEFFICIENT_MANUAL]],PROPERTIES[[#This Row],[TE_COEFFICIENT_CALC]]),3)</f>
        <v>0.3</v>
      </c>
      <c r="X737" s="9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1">
        <v>0</v>
      </c>
      <c r="Z737" s="7">
        <v>0</v>
      </c>
      <c r="AA737" t="s">
        <v>2010</v>
      </c>
      <c r="AB737" t="s">
        <v>241</v>
      </c>
      <c r="AC737" t="s">
        <v>238</v>
      </c>
      <c r="AD737" s="2" t="s">
        <v>238</v>
      </c>
      <c r="AE737" s="2" t="s">
        <v>253</v>
      </c>
      <c r="AF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7" s="2" t="str">
        <f>SUBSTITUTE(SUBSTITUTE(PROPERTIES[[#This Row],[PURCHASECOST_VALUE]], "PURCHASECOST_", ""), "_VALUE", "")</f>
        <v>COACH</v>
      </c>
      <c r="AI737" s="7" t="str" cm="1">
        <f t="array" ref="AI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7" s="43" t="b">
        <v>0</v>
      </c>
      <c r="AK737" s="8" t="b">
        <v>0</v>
      </c>
      <c r="BB737"/>
      <c r="BC737"/>
      <c r="BD737"/>
    </row>
    <row r="738" spans="1:56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5" t="str">
        <f>_xlfn.XLOOKUP(PROPERTIES[[#This Row],[VEHIDCODE]],CONTROL[VEHIDCODE],CONTROL[ENGLISH])</f>
        <v>Steel 3-axle Regional Coach</v>
      </c>
      <c r="G738" s="45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8">
        <v>30</v>
      </c>
      <c r="R738">
        <v>0</v>
      </c>
      <c r="S738">
        <v>90</v>
      </c>
      <c r="T738" s="25">
        <v>0</v>
      </c>
      <c r="U738" s="24">
        <f>IFERROR(PROPERTIES[[#This Row],[TE_STARTING_KN]]/(PROPERTIES[[#This Row],[WEIGHT]]*9.81),0)</f>
        <v>0</v>
      </c>
      <c r="V738" s="24">
        <v>0.3</v>
      </c>
      <c r="W738" s="21">
        <f>ROUND(IF(IFERROR(PROPERTIES[[#This Row],[TE_COEFFICIENT_CALC]],0)=0,PROPERTIES[[#This Row],[TE_COEFFICIENT_MANUAL]],PROPERTIES[[#This Row],[TE_COEFFICIENT_CALC]]),3)</f>
        <v>0.3</v>
      </c>
      <c r="X738" s="9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1">
        <v>0</v>
      </c>
      <c r="Z738" s="7">
        <v>0</v>
      </c>
      <c r="AA738" t="s">
        <v>2010</v>
      </c>
      <c r="AB738" t="s">
        <v>241</v>
      </c>
      <c r="AC738" t="s">
        <v>238</v>
      </c>
      <c r="AD738" s="2" t="s">
        <v>238</v>
      </c>
      <c r="AE738" s="2" t="s">
        <v>253</v>
      </c>
      <c r="AF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8" s="2" t="str">
        <f>SUBSTITUTE(SUBSTITUTE(PROPERTIES[[#This Row],[PURCHASECOST_VALUE]], "PURCHASECOST_", ""), "_VALUE", "")</f>
        <v>COACH</v>
      </c>
      <c r="AI738" s="7" t="str" cm="1">
        <f t="array" ref="AI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8" s="43" t="b">
        <v>0</v>
      </c>
      <c r="AK738" s="8" t="b">
        <v>0</v>
      </c>
      <c r="BB738"/>
      <c r="BC738"/>
      <c r="BD738"/>
    </row>
    <row r="739" spans="1:56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5" t="str">
        <f>_xlfn.XLOOKUP(PROPERTIES[[#This Row],[VEHIDCODE]],CONTROL[VEHIDCODE],CONTROL[ENGLISH])</f>
        <v>Steel 3-axle Mail Coach</v>
      </c>
      <c r="G739" s="45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8">
        <v>27.5</v>
      </c>
      <c r="R739">
        <v>0</v>
      </c>
      <c r="S739">
        <v>90</v>
      </c>
      <c r="T739" s="25">
        <v>0</v>
      </c>
      <c r="U739" s="24">
        <f>IFERROR(PROPERTIES[[#This Row],[TE_STARTING_KN]]/(PROPERTIES[[#This Row],[WEIGHT]]*9.81),0)</f>
        <v>0</v>
      </c>
      <c r="V739" s="24">
        <v>0.3</v>
      </c>
      <c r="W739" s="21">
        <f>ROUND(IF(IFERROR(PROPERTIES[[#This Row],[TE_COEFFICIENT_CALC]],0)=0,PROPERTIES[[#This Row],[TE_COEFFICIENT_MANUAL]],PROPERTIES[[#This Row],[TE_COEFFICIENT_CALC]]),3)</f>
        <v>0.3</v>
      </c>
      <c r="X739" s="9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1">
        <v>0</v>
      </c>
      <c r="Z739" s="7">
        <v>0</v>
      </c>
      <c r="AA739" t="s">
        <v>2010</v>
      </c>
      <c r="AB739" t="s">
        <v>241</v>
      </c>
      <c r="AC739" t="s">
        <v>238</v>
      </c>
      <c r="AD739" s="2" t="s">
        <v>238</v>
      </c>
      <c r="AE739" s="2" t="s">
        <v>253</v>
      </c>
      <c r="AF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9" s="2" t="str">
        <f>SUBSTITUTE(SUBSTITUTE(PROPERTIES[[#This Row],[PURCHASECOST_VALUE]], "PURCHASECOST_", ""), "_VALUE", "")</f>
        <v>COACH</v>
      </c>
      <c r="AI739" s="7" t="str" cm="1">
        <f t="array" ref="AI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9" s="43" t="b">
        <v>0</v>
      </c>
      <c r="AK739" s="8" t="b">
        <v>0</v>
      </c>
      <c r="BB739"/>
      <c r="BC739"/>
      <c r="BD739"/>
    </row>
    <row r="740" spans="1:56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5" t="str">
        <f>_xlfn.XLOOKUP(PROPERTIES[[#This Row],[VEHIDCODE]],CONTROL[VEHIDCODE],CONTROL[ENGLISH])</f>
        <v>Lightweight Intercity Coach</v>
      </c>
      <c r="G740" s="45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8">
        <v>34</v>
      </c>
      <c r="R740">
        <v>0</v>
      </c>
      <c r="S740">
        <v>160</v>
      </c>
      <c r="T740" s="25">
        <v>0</v>
      </c>
      <c r="U740" s="24">
        <f>IFERROR(PROPERTIES[[#This Row],[TE_STARTING_KN]]/(PROPERTIES[[#This Row],[WEIGHT]]*9.81),0)</f>
        <v>0</v>
      </c>
      <c r="V740" s="24">
        <v>0.3</v>
      </c>
      <c r="W740" s="21">
        <f>ROUND(IF(IFERROR(PROPERTIES[[#This Row],[TE_COEFFICIENT_CALC]],0)=0,PROPERTIES[[#This Row],[TE_COEFFICIENT_MANUAL]],PROPERTIES[[#This Row],[TE_COEFFICIENT_CALC]]),3)</f>
        <v>0.3</v>
      </c>
      <c r="X740" s="9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1">
        <v>0</v>
      </c>
      <c r="Z740" s="7">
        <v>0</v>
      </c>
      <c r="AA740" t="s">
        <v>2012</v>
      </c>
      <c r="AB740" t="s">
        <v>249</v>
      </c>
      <c r="AC740" t="s">
        <v>238</v>
      </c>
      <c r="AD740" s="2" t="s">
        <v>238</v>
      </c>
      <c r="AE740" s="2" t="s">
        <v>253</v>
      </c>
      <c r="AF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0" s="2" t="str">
        <f>SUBSTITUTE(SUBSTITUTE(PROPERTIES[[#This Row],[PURCHASECOST_VALUE]], "PURCHASECOST_", ""), "_VALUE", "")</f>
        <v>COACH</v>
      </c>
      <c r="AI740" s="7" t="str" cm="1">
        <f t="array" ref="AI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0" s="43" t="b">
        <v>0</v>
      </c>
      <c r="AK740" s="8" t="b">
        <v>0</v>
      </c>
      <c r="BB740"/>
      <c r="BC740"/>
      <c r="BD740"/>
    </row>
    <row r="741" spans="1:56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5" t="str">
        <f>_xlfn.XLOOKUP(PROPERTIES[[#This Row],[VEHIDCODE]],CONTROL[VEHIDCODE],CONTROL[ENGLISH])</f>
        <v>Lightweight Regional Coach</v>
      </c>
      <c r="G741" s="45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8">
        <v>32</v>
      </c>
      <c r="R741">
        <v>0</v>
      </c>
      <c r="S741">
        <v>160</v>
      </c>
      <c r="T741" s="25">
        <v>0</v>
      </c>
      <c r="U741" s="24">
        <f>IFERROR(PROPERTIES[[#This Row],[TE_STARTING_KN]]/(PROPERTIES[[#This Row],[WEIGHT]]*9.81),0)</f>
        <v>0</v>
      </c>
      <c r="V741" s="24">
        <v>0.3</v>
      </c>
      <c r="W741" s="21">
        <f>ROUND(IF(IFERROR(PROPERTIES[[#This Row],[TE_COEFFICIENT_CALC]],0)=0,PROPERTIES[[#This Row],[TE_COEFFICIENT_MANUAL]],PROPERTIES[[#This Row],[TE_COEFFICIENT_CALC]]),3)</f>
        <v>0.3</v>
      </c>
      <c r="X741" s="9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1">
        <v>0</v>
      </c>
      <c r="Z741" s="7">
        <v>0</v>
      </c>
      <c r="AA741" t="s">
        <v>2012</v>
      </c>
      <c r="AB741" t="s">
        <v>249</v>
      </c>
      <c r="AC741" t="s">
        <v>238</v>
      </c>
      <c r="AD741" s="2" t="s">
        <v>238</v>
      </c>
      <c r="AE741" s="2" t="s">
        <v>253</v>
      </c>
      <c r="AF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1" s="2" t="str">
        <f>SUBSTITUTE(SUBSTITUTE(PROPERTIES[[#This Row],[PURCHASECOST_VALUE]], "PURCHASECOST_", ""), "_VALUE", "")</f>
        <v>COACH</v>
      </c>
      <c r="AI741" s="7" t="str" cm="1">
        <f t="array" ref="AI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1" s="43" t="b">
        <v>0</v>
      </c>
      <c r="AK741" s="8" t="b">
        <v>0</v>
      </c>
      <c r="BB741"/>
      <c r="BC741"/>
      <c r="BD741"/>
    </row>
    <row r="742" spans="1:56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5" t="str">
        <f>_xlfn.XLOOKUP(PROPERTIES[[#This Row],[VEHIDCODE]],CONTROL[VEHIDCODE],CONTROL[ENGLISH])</f>
        <v>Lightweight Mail Coach</v>
      </c>
      <c r="G742" s="45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8">
        <v>34</v>
      </c>
      <c r="R742">
        <v>0</v>
      </c>
      <c r="S742">
        <v>160</v>
      </c>
      <c r="T742" s="25">
        <v>0</v>
      </c>
      <c r="U742" s="24">
        <f>IFERROR(PROPERTIES[[#This Row],[TE_STARTING_KN]]/(PROPERTIES[[#This Row],[WEIGHT]]*9.81),0)</f>
        <v>0</v>
      </c>
      <c r="V742" s="24">
        <v>0.3</v>
      </c>
      <c r="W742" s="21">
        <f>ROUND(IF(IFERROR(PROPERTIES[[#This Row],[TE_COEFFICIENT_CALC]],0)=0,PROPERTIES[[#This Row],[TE_COEFFICIENT_MANUAL]],PROPERTIES[[#This Row],[TE_COEFFICIENT_CALC]]),3)</f>
        <v>0.3</v>
      </c>
      <c r="X742" s="9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1">
        <v>0</v>
      </c>
      <c r="Z742" s="7">
        <v>0</v>
      </c>
      <c r="AA742" t="s">
        <v>2012</v>
      </c>
      <c r="AB742" t="s">
        <v>249</v>
      </c>
      <c r="AC742" t="s">
        <v>238</v>
      </c>
      <c r="AD742" s="2" t="s">
        <v>238</v>
      </c>
      <c r="AE742" s="2" t="s">
        <v>253</v>
      </c>
      <c r="AF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2" s="2" t="str">
        <f>SUBSTITUTE(SUBSTITUTE(PROPERTIES[[#This Row],[PURCHASECOST_VALUE]], "PURCHASECOST_", ""), "_VALUE", "")</f>
        <v>COACH</v>
      </c>
      <c r="AI742" s="7" t="str" cm="1">
        <f t="array" ref="AI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2" s="43" t="b">
        <v>0</v>
      </c>
      <c r="AK742" s="8" t="b">
        <v>0</v>
      </c>
      <c r="BB742"/>
      <c r="BC742"/>
      <c r="BD742"/>
    </row>
    <row r="743" spans="1:56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5" t="str">
        <f>_xlfn.XLOOKUP(PROPERTIES[[#This Row],[VEHIDCODE]],CONTROL[VEHIDCODE],CONTROL[ENGLISH])</f>
        <v>Streamlined Intercity Coach</v>
      </c>
      <c r="G743" s="45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8">
        <v>30</v>
      </c>
      <c r="R743">
        <v>0</v>
      </c>
      <c r="S743">
        <v>160</v>
      </c>
      <c r="T743" s="25">
        <v>0</v>
      </c>
      <c r="U743" s="24">
        <f>IFERROR(PROPERTIES[[#This Row],[TE_STARTING_KN]]/(PROPERTIES[[#This Row],[WEIGHT]]*9.81),0)</f>
        <v>0</v>
      </c>
      <c r="V743" s="24">
        <v>0.3</v>
      </c>
      <c r="W743" s="21">
        <f>ROUND(IF(IFERROR(PROPERTIES[[#This Row],[TE_COEFFICIENT_CALC]],0)=0,PROPERTIES[[#This Row],[TE_COEFFICIENT_MANUAL]],PROPERTIES[[#This Row],[TE_COEFFICIENT_CALC]]),3)</f>
        <v>0.3</v>
      </c>
      <c r="X743" s="9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1">
        <v>0</v>
      </c>
      <c r="Z743" s="7">
        <v>0</v>
      </c>
      <c r="AA743" t="s">
        <v>2010</v>
      </c>
      <c r="AB743" t="s">
        <v>241</v>
      </c>
      <c r="AC743" t="s">
        <v>238</v>
      </c>
      <c r="AD743" s="2" t="s">
        <v>238</v>
      </c>
      <c r="AE743" s="2" t="s">
        <v>253</v>
      </c>
      <c r="AF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3" s="2" t="str">
        <f>SUBSTITUTE(SUBSTITUTE(PROPERTIES[[#This Row],[PURCHASECOST_VALUE]], "PURCHASECOST_", ""), "_VALUE", "")</f>
        <v>COACH</v>
      </c>
      <c r="AI743" s="7" t="str" cm="1">
        <f t="array" ref="AI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3" s="43" t="b">
        <v>0</v>
      </c>
      <c r="AK743" s="8" t="b">
        <v>0</v>
      </c>
      <c r="BB743"/>
      <c r="BC743"/>
      <c r="BD743"/>
    </row>
    <row r="744" spans="1:56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5" t="str">
        <f>_xlfn.XLOOKUP(PROPERTIES[[#This Row],[VEHIDCODE]],CONTROL[VEHIDCODE],CONTROL[ENGLISH])</f>
        <v>Streamlined Regional Coach</v>
      </c>
      <c r="G744" s="45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8">
        <v>25</v>
      </c>
      <c r="R744">
        <v>0</v>
      </c>
      <c r="S744">
        <v>120</v>
      </c>
      <c r="T744" s="25">
        <v>0</v>
      </c>
      <c r="U744" s="24">
        <f>IFERROR(PROPERTIES[[#This Row],[TE_STARTING_KN]]/(PROPERTIES[[#This Row],[WEIGHT]]*9.81),0)</f>
        <v>0</v>
      </c>
      <c r="V744" s="24">
        <v>0.3</v>
      </c>
      <c r="W744" s="21">
        <f>ROUND(IF(IFERROR(PROPERTIES[[#This Row],[TE_COEFFICIENT_CALC]],0)=0,PROPERTIES[[#This Row],[TE_COEFFICIENT_MANUAL]],PROPERTIES[[#This Row],[TE_COEFFICIENT_CALC]]),3)</f>
        <v>0.3</v>
      </c>
      <c r="X744" s="9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1">
        <v>0</v>
      </c>
      <c r="Z744" s="7">
        <v>0</v>
      </c>
      <c r="AA744" t="s">
        <v>249</v>
      </c>
      <c r="AB744" t="s">
        <v>241</v>
      </c>
      <c r="AC744" t="s">
        <v>238</v>
      </c>
      <c r="AD744" s="2" t="s">
        <v>238</v>
      </c>
      <c r="AE744" s="2" t="s">
        <v>253</v>
      </c>
      <c r="AF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4" s="2" t="str">
        <f>SUBSTITUTE(SUBSTITUTE(PROPERTIES[[#This Row],[PURCHASECOST_VALUE]], "PURCHASECOST_", ""), "_VALUE", "")</f>
        <v>COACH</v>
      </c>
      <c r="AI744" s="7" t="str" cm="1">
        <f t="array" ref="AI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4" s="43" t="b">
        <v>0</v>
      </c>
      <c r="AK744" s="8" t="b">
        <v>0</v>
      </c>
      <c r="BB744"/>
      <c r="BC744"/>
      <c r="BD744"/>
    </row>
    <row r="745" spans="1:56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5" t="str">
        <f>_xlfn.XLOOKUP(PROPERTIES[[#This Row],[VEHIDCODE]],CONTROL[VEHIDCODE],CONTROL[ENGLISH])</f>
        <v>Streamlined Mail Coach</v>
      </c>
      <c r="G745" s="45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8">
        <v>24</v>
      </c>
      <c r="R745">
        <v>0</v>
      </c>
      <c r="S745">
        <v>160</v>
      </c>
      <c r="T745" s="25">
        <v>0</v>
      </c>
      <c r="U745" s="24">
        <f>IFERROR(PROPERTIES[[#This Row],[TE_STARTING_KN]]/(PROPERTIES[[#This Row],[WEIGHT]]*9.81),0)</f>
        <v>0</v>
      </c>
      <c r="V745" s="24">
        <v>0.3</v>
      </c>
      <c r="W745" s="21">
        <f>ROUND(IF(IFERROR(PROPERTIES[[#This Row],[TE_COEFFICIENT_CALC]],0)=0,PROPERTIES[[#This Row],[TE_COEFFICIENT_MANUAL]],PROPERTIES[[#This Row],[TE_COEFFICIENT_CALC]]),3)</f>
        <v>0.3</v>
      </c>
      <c r="X745" s="9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1">
        <v>0</v>
      </c>
      <c r="Z745" s="7">
        <v>0</v>
      </c>
      <c r="AA745" t="s">
        <v>249</v>
      </c>
      <c r="AB745" t="s">
        <v>241</v>
      </c>
      <c r="AC745" t="s">
        <v>238</v>
      </c>
      <c r="AD745" s="2" t="s">
        <v>238</v>
      </c>
      <c r="AE745" s="2" t="s">
        <v>253</v>
      </c>
      <c r="AF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5" s="2" t="str">
        <f>SUBSTITUTE(SUBSTITUTE(PROPERTIES[[#This Row],[PURCHASECOST_VALUE]], "PURCHASECOST_", ""), "_VALUE", "")</f>
        <v>COACH</v>
      </c>
      <c r="AI745" s="7" t="str" cm="1">
        <f t="array" ref="AI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5" s="43" t="b">
        <v>0</v>
      </c>
      <c r="AK745" s="8" t="b">
        <v>0</v>
      </c>
      <c r="BB745"/>
      <c r="BC745"/>
      <c r="BD745"/>
    </row>
    <row r="746" spans="1:56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5" t="str">
        <f>_xlfn.XLOOKUP(PROPERTIES[[#This Row],[VEHIDCODE]],CONTROL[VEHIDCODE],CONTROL[ENGLISH])</f>
        <v>Gallery Car</v>
      </c>
      <c r="G746" s="45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8">
        <v>75</v>
      </c>
      <c r="R746">
        <v>0</v>
      </c>
      <c r="S746">
        <v>130</v>
      </c>
      <c r="T746" s="25">
        <v>0</v>
      </c>
      <c r="U746" s="24">
        <f>IFERROR(PROPERTIES[[#This Row],[TE_STARTING_KN]]/(PROPERTIES[[#This Row],[WEIGHT]]*9.81),0)</f>
        <v>0</v>
      </c>
      <c r="V746" s="24">
        <v>0.3</v>
      </c>
      <c r="W746" s="21">
        <f>ROUND(IF(IFERROR(PROPERTIES[[#This Row],[TE_COEFFICIENT_CALC]],0)=0,PROPERTIES[[#This Row],[TE_COEFFICIENT_MANUAL]],PROPERTIES[[#This Row],[TE_COEFFICIENT_CALC]]),3)</f>
        <v>0.3</v>
      </c>
      <c r="X746" s="9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1">
        <v>0</v>
      </c>
      <c r="Z746" s="7">
        <v>0</v>
      </c>
      <c r="AA746" t="s">
        <v>249</v>
      </c>
      <c r="AB746" t="s">
        <v>241</v>
      </c>
      <c r="AC746" t="s">
        <v>238</v>
      </c>
      <c r="AD746" s="2" t="s">
        <v>238</v>
      </c>
      <c r="AE746" s="2" t="s">
        <v>253</v>
      </c>
      <c r="AF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6" s="2" t="str">
        <f>SUBSTITUTE(SUBSTITUTE(PROPERTIES[[#This Row],[PURCHASECOST_VALUE]], "PURCHASECOST_", ""), "_VALUE", "")</f>
        <v>COACH</v>
      </c>
      <c r="AI746" s="7" t="str" cm="1">
        <f t="array" ref="AI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6" s="43" t="b">
        <v>0</v>
      </c>
      <c r="AK746" s="8" t="b">
        <v>0</v>
      </c>
      <c r="BB746"/>
      <c r="BC746"/>
      <c r="BD746"/>
    </row>
    <row r="747" spans="1:56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5" t="str">
        <f>_xlfn.XLOOKUP(PROPERTIES[[#This Row],[VEHIDCODE]],CONTROL[VEHIDCODE],CONTROL[ENGLISH])</f>
        <v>Mk1 Intercity Coach</v>
      </c>
      <c r="G747" s="45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8">
        <v>35</v>
      </c>
      <c r="R747">
        <v>0</v>
      </c>
      <c r="S747">
        <v>145</v>
      </c>
      <c r="T747" s="25">
        <v>0</v>
      </c>
      <c r="U747" s="24">
        <f>IFERROR(PROPERTIES[[#This Row],[TE_STARTING_KN]]/(PROPERTIES[[#This Row],[WEIGHT]]*9.81),0)</f>
        <v>0</v>
      </c>
      <c r="V747" s="24">
        <v>0.3</v>
      </c>
      <c r="W747" s="21">
        <f>ROUND(IF(IFERROR(PROPERTIES[[#This Row],[TE_COEFFICIENT_CALC]],0)=0,PROPERTIES[[#This Row],[TE_COEFFICIENT_MANUAL]],PROPERTIES[[#This Row],[TE_COEFFICIENT_CALC]]),3)</f>
        <v>0.3</v>
      </c>
      <c r="X747" s="9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1">
        <v>0</v>
      </c>
      <c r="Z747" s="7">
        <v>0</v>
      </c>
      <c r="AA747" t="s">
        <v>2010</v>
      </c>
      <c r="AB747" t="s">
        <v>238</v>
      </c>
      <c r="AC747" t="s">
        <v>238</v>
      </c>
      <c r="AD747" s="2" t="s">
        <v>238</v>
      </c>
      <c r="AE747" s="2" t="s">
        <v>253</v>
      </c>
      <c r="AF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7" s="2" t="str">
        <f>SUBSTITUTE(SUBSTITUTE(PROPERTIES[[#This Row],[PURCHASECOST_VALUE]], "PURCHASECOST_", ""), "_VALUE", "")</f>
        <v>COACH</v>
      </c>
      <c r="AI747" s="7" t="str" cm="1">
        <f t="array" ref="AI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7" s="43" t="b">
        <v>0</v>
      </c>
      <c r="AK747" s="8" t="b">
        <v>0</v>
      </c>
      <c r="BB747"/>
      <c r="BC747"/>
      <c r="BD747"/>
    </row>
    <row r="748" spans="1:56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5" t="str">
        <f>_xlfn.XLOOKUP(PROPERTIES[[#This Row],[VEHIDCODE]],CONTROL[VEHIDCODE],CONTROL[ENGLISH])</f>
        <v>Mk1 Regional Coach</v>
      </c>
      <c r="G748" s="45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8">
        <v>31</v>
      </c>
      <c r="R748">
        <v>0</v>
      </c>
      <c r="S748">
        <v>120</v>
      </c>
      <c r="T748" s="25">
        <v>0</v>
      </c>
      <c r="U748" s="24">
        <f>IFERROR(PROPERTIES[[#This Row],[TE_STARTING_KN]]/(PROPERTIES[[#This Row],[WEIGHT]]*9.81),0)</f>
        <v>0</v>
      </c>
      <c r="V748" s="24">
        <v>0.3</v>
      </c>
      <c r="W748" s="21">
        <f>ROUND(IF(IFERROR(PROPERTIES[[#This Row],[TE_COEFFICIENT_CALC]],0)=0,PROPERTIES[[#This Row],[TE_COEFFICIENT_MANUAL]],PROPERTIES[[#This Row],[TE_COEFFICIENT_CALC]]),3)</f>
        <v>0.3</v>
      </c>
      <c r="X748" s="9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1">
        <v>0</v>
      </c>
      <c r="Z748" s="7">
        <v>0</v>
      </c>
      <c r="AA748" t="s">
        <v>2010</v>
      </c>
      <c r="AB748" t="s">
        <v>238</v>
      </c>
      <c r="AC748" t="s">
        <v>238</v>
      </c>
      <c r="AD748" s="2" t="s">
        <v>238</v>
      </c>
      <c r="AE748" s="2" t="s">
        <v>253</v>
      </c>
      <c r="AF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8" s="2" t="str">
        <f>SUBSTITUTE(SUBSTITUTE(PROPERTIES[[#This Row],[PURCHASECOST_VALUE]], "PURCHASECOST_", ""), "_VALUE", "")</f>
        <v>COACH</v>
      </c>
      <c r="AI748" s="7" t="str" cm="1">
        <f t="array" ref="AI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8" s="43" t="b">
        <v>0</v>
      </c>
      <c r="AK748" s="8" t="b">
        <v>0</v>
      </c>
      <c r="BB748"/>
      <c r="BC748"/>
      <c r="BD748"/>
    </row>
    <row r="749" spans="1:56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5" t="str">
        <f>_xlfn.XLOOKUP(PROPERTIES[[#This Row],[VEHIDCODE]],CONTROL[VEHIDCODE],CONTROL[ENGLISH])</f>
        <v>Mk1 Mail Coach</v>
      </c>
      <c r="G749" s="45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8">
        <v>34</v>
      </c>
      <c r="R749">
        <v>0</v>
      </c>
      <c r="S749">
        <v>145</v>
      </c>
      <c r="T749" s="25">
        <v>0</v>
      </c>
      <c r="U749" s="24">
        <f>IFERROR(PROPERTIES[[#This Row],[TE_STARTING_KN]]/(PROPERTIES[[#This Row],[WEIGHT]]*9.81),0)</f>
        <v>0</v>
      </c>
      <c r="V749" s="24">
        <v>0.3</v>
      </c>
      <c r="W749" s="21">
        <f>ROUND(IF(IFERROR(PROPERTIES[[#This Row],[TE_COEFFICIENT_CALC]],0)=0,PROPERTIES[[#This Row],[TE_COEFFICIENT_MANUAL]],PROPERTIES[[#This Row],[TE_COEFFICIENT_CALC]]),3)</f>
        <v>0.3</v>
      </c>
      <c r="X749" s="9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1">
        <v>0</v>
      </c>
      <c r="Z749" s="7">
        <v>0</v>
      </c>
      <c r="AA749" t="s">
        <v>2010</v>
      </c>
      <c r="AB749" t="s">
        <v>238</v>
      </c>
      <c r="AC749" t="s">
        <v>238</v>
      </c>
      <c r="AD749" s="2" t="s">
        <v>238</v>
      </c>
      <c r="AE749" s="2" t="s">
        <v>253</v>
      </c>
      <c r="AF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9" s="2" t="str">
        <f>SUBSTITUTE(SUBSTITUTE(PROPERTIES[[#This Row],[PURCHASECOST_VALUE]], "PURCHASECOST_", ""), "_VALUE", "")</f>
        <v>COACH</v>
      </c>
      <c r="AI749" s="7" t="str" cm="1">
        <f t="array" ref="AI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9" s="43" t="b">
        <v>0</v>
      </c>
      <c r="AK749" s="8" t="b">
        <v>0</v>
      </c>
      <c r="BB749"/>
      <c r="BC749"/>
      <c r="BD749"/>
    </row>
    <row r="750" spans="1:56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5" t="str">
        <f>_xlfn.XLOOKUP(PROPERTIES[[#This Row],[VEHIDCODE]],CONTROL[VEHIDCODE],CONTROL[ENGLISH])</f>
        <v>UIC-X Intercity Coach</v>
      </c>
      <c r="G750" s="45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8">
        <v>42</v>
      </c>
      <c r="R750">
        <v>0</v>
      </c>
      <c r="S750">
        <v>160</v>
      </c>
      <c r="T750" s="25">
        <v>0</v>
      </c>
      <c r="U750" s="24">
        <f>IFERROR(PROPERTIES[[#This Row],[TE_STARTING_KN]]/(PROPERTIES[[#This Row],[WEIGHT]]*9.81),0)</f>
        <v>0</v>
      </c>
      <c r="V750" s="24">
        <v>0.3</v>
      </c>
      <c r="W750" s="21">
        <f>ROUND(IF(IFERROR(PROPERTIES[[#This Row],[TE_COEFFICIENT_CALC]],0)=0,PROPERTIES[[#This Row],[TE_COEFFICIENT_MANUAL]],PROPERTIES[[#This Row],[TE_COEFFICIENT_CALC]]),3)</f>
        <v>0.3</v>
      </c>
      <c r="X750" s="9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1">
        <v>0</v>
      </c>
      <c r="Z750" s="7">
        <v>0</v>
      </c>
      <c r="AA750" t="s">
        <v>2010</v>
      </c>
      <c r="AB750" t="s">
        <v>238</v>
      </c>
      <c r="AC750" t="s">
        <v>238</v>
      </c>
      <c r="AD750" s="2" t="s">
        <v>238</v>
      </c>
      <c r="AE750" s="2" t="s">
        <v>253</v>
      </c>
      <c r="AF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0" s="2" t="str">
        <f>SUBSTITUTE(SUBSTITUTE(PROPERTIES[[#This Row],[PURCHASECOST_VALUE]], "PURCHASECOST_", ""), "_VALUE", "")</f>
        <v>COACH</v>
      </c>
      <c r="AI750" s="7" t="str" cm="1">
        <f t="array" ref="AI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0" s="43" t="b">
        <v>0</v>
      </c>
      <c r="AK750" s="8" t="b">
        <v>0</v>
      </c>
      <c r="BB750"/>
      <c r="BC750"/>
      <c r="BD750"/>
    </row>
    <row r="751" spans="1:56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5" t="str">
        <f>_xlfn.XLOOKUP(PROPERTIES[[#This Row],[VEHIDCODE]],CONTROL[VEHIDCODE],CONTROL[ENGLISH])</f>
        <v>TEE Intercity Coach</v>
      </c>
      <c r="G751" s="45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8">
        <v>48</v>
      </c>
      <c r="R751">
        <v>0</v>
      </c>
      <c r="S751">
        <v>160</v>
      </c>
      <c r="T751" s="25">
        <v>0</v>
      </c>
      <c r="U751" s="24">
        <f>IFERROR(PROPERTIES[[#This Row],[TE_STARTING_KN]]/(PROPERTIES[[#This Row],[WEIGHT]]*9.81),0)</f>
        <v>0</v>
      </c>
      <c r="V751" s="24">
        <v>0.3</v>
      </c>
      <c r="W751" s="21">
        <f>ROUND(IF(IFERROR(PROPERTIES[[#This Row],[TE_COEFFICIENT_CALC]],0)=0,PROPERTIES[[#This Row],[TE_COEFFICIENT_MANUAL]],PROPERTIES[[#This Row],[TE_COEFFICIENT_CALC]]),3)</f>
        <v>0.3</v>
      </c>
      <c r="X751" s="9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1">
        <v>0</v>
      </c>
      <c r="Z751" s="7">
        <v>0</v>
      </c>
      <c r="AA751" t="s">
        <v>248</v>
      </c>
      <c r="AB751" t="s">
        <v>238</v>
      </c>
      <c r="AC751" t="s">
        <v>238</v>
      </c>
      <c r="AD751" s="2" t="s">
        <v>238</v>
      </c>
      <c r="AE751" s="2" t="s">
        <v>253</v>
      </c>
      <c r="AF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1" s="2" t="str">
        <f>SUBSTITUTE(SUBSTITUTE(PROPERTIES[[#This Row],[PURCHASECOST_VALUE]], "PURCHASECOST_", ""), "_VALUE", "")</f>
        <v>COACH</v>
      </c>
      <c r="AI751" s="7" t="str" cm="1">
        <f t="array" ref="AI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1" s="43" t="b">
        <v>0</v>
      </c>
      <c r="AK751" s="8" t="b">
        <v>0</v>
      </c>
      <c r="BB751"/>
      <c r="BC751"/>
      <c r="BD751"/>
    </row>
    <row r="752" spans="1:56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5" t="str">
        <f>_xlfn.XLOOKUP(PROPERTIES[[#This Row],[VEHIDCODE]],CONTROL[VEHIDCODE],CONTROL[ENGLISH])</f>
        <v>UIC-X Regional Coach</v>
      </c>
      <c r="G752" s="45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8">
        <v>35</v>
      </c>
      <c r="R752">
        <v>0</v>
      </c>
      <c r="S752">
        <v>140</v>
      </c>
      <c r="T752" s="25">
        <v>0</v>
      </c>
      <c r="U752" s="24">
        <f>IFERROR(PROPERTIES[[#This Row],[TE_STARTING_KN]]/(PROPERTIES[[#This Row],[WEIGHT]]*9.81),0)</f>
        <v>0</v>
      </c>
      <c r="V752" s="24">
        <v>0.3</v>
      </c>
      <c r="W752" s="21">
        <f>ROUND(IF(IFERROR(PROPERTIES[[#This Row],[TE_COEFFICIENT_CALC]],0)=0,PROPERTIES[[#This Row],[TE_COEFFICIENT_MANUAL]],PROPERTIES[[#This Row],[TE_COEFFICIENT_CALC]]),3)</f>
        <v>0.3</v>
      </c>
      <c r="X752" s="9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1">
        <v>0</v>
      </c>
      <c r="Z752" s="7">
        <v>0</v>
      </c>
      <c r="AA752" t="s">
        <v>2010</v>
      </c>
      <c r="AB752" t="s">
        <v>238</v>
      </c>
      <c r="AC752" t="s">
        <v>238</v>
      </c>
      <c r="AD752" s="2" t="s">
        <v>238</v>
      </c>
      <c r="AE752" s="2" t="s">
        <v>253</v>
      </c>
      <c r="AF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2" s="2" t="str">
        <f>SUBSTITUTE(SUBSTITUTE(PROPERTIES[[#This Row],[PURCHASECOST_VALUE]], "PURCHASECOST_", ""), "_VALUE", "")</f>
        <v>COACH</v>
      </c>
      <c r="AI752" s="7" t="str" cm="1">
        <f t="array" ref="AI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2" s="43" t="b">
        <v>0</v>
      </c>
      <c r="AK752" s="8" t="b">
        <v>0</v>
      </c>
      <c r="BB752"/>
      <c r="BC752"/>
      <c r="BD752"/>
    </row>
    <row r="753" spans="1:56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5" t="str">
        <f>_xlfn.XLOOKUP(PROPERTIES[[#This Row],[VEHIDCODE]],CONTROL[VEHIDCODE],CONTROL[ENGLISH])</f>
        <v>'Umbauwagen' Local Coach</v>
      </c>
      <c r="G753" s="45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8">
        <v>30</v>
      </c>
      <c r="R753">
        <v>0</v>
      </c>
      <c r="S753">
        <v>100</v>
      </c>
      <c r="T753" s="25">
        <v>0</v>
      </c>
      <c r="U753" s="24">
        <f>IFERROR(PROPERTIES[[#This Row],[TE_STARTING_KN]]/(PROPERTIES[[#This Row],[WEIGHT]]*9.81),0)</f>
        <v>0</v>
      </c>
      <c r="V753" s="24">
        <v>0.3</v>
      </c>
      <c r="W753" s="21">
        <f>ROUND(IF(IFERROR(PROPERTIES[[#This Row],[TE_COEFFICIENT_CALC]],0)=0,PROPERTIES[[#This Row],[TE_COEFFICIENT_MANUAL]],PROPERTIES[[#This Row],[TE_COEFFICIENT_CALC]]),3)</f>
        <v>0.3</v>
      </c>
      <c r="X753" s="9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1">
        <v>0</v>
      </c>
      <c r="Z753" s="7">
        <v>0</v>
      </c>
      <c r="AA753" t="s">
        <v>2010</v>
      </c>
      <c r="AB753" t="s">
        <v>238</v>
      </c>
      <c r="AC753" t="s">
        <v>238</v>
      </c>
      <c r="AD753" s="2" t="s">
        <v>238</v>
      </c>
      <c r="AE753" s="2" t="s">
        <v>253</v>
      </c>
      <c r="AF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3" s="2" t="str">
        <f>SUBSTITUTE(SUBSTITUTE(PROPERTIES[[#This Row],[PURCHASECOST_VALUE]], "PURCHASECOST_", ""), "_VALUE", "")</f>
        <v>COACH</v>
      </c>
      <c r="AI753" s="7" t="str" cm="1">
        <f t="array" ref="AI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3" s="43" t="b">
        <v>0</v>
      </c>
      <c r="AK753" s="8" t="b">
        <v>0</v>
      </c>
      <c r="BB753"/>
      <c r="BC753"/>
      <c r="BD753"/>
    </row>
    <row r="754" spans="1:56">
      <c r="A754" s="2" t="s">
        <v>3687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5" t="str">
        <f>_xlfn.XLOOKUP(PROPERTIES[[#This Row],[VEHIDCODE]],CONTROL[VEHIDCODE],CONTROL[ENGLISH])</f>
        <v>Goerlitz Double Decker Coach</v>
      </c>
      <c r="G754" s="45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8">
        <f>85/2</f>
        <v>42.5</v>
      </c>
      <c r="R754">
        <v>0</v>
      </c>
      <c r="S754">
        <v>160</v>
      </c>
      <c r="T754" s="25">
        <v>0</v>
      </c>
      <c r="U754" s="24">
        <f>IFERROR(PROPERTIES[[#This Row],[TE_STARTING_KN]]/(PROPERTIES[[#This Row],[WEIGHT]]*9.81),0)</f>
        <v>0</v>
      </c>
      <c r="V754" s="24">
        <v>0.3</v>
      </c>
      <c r="W754" s="21">
        <f>ROUND(IF(IFERROR(PROPERTIES[[#This Row],[TE_COEFFICIENT_CALC]],0)=0,PROPERTIES[[#This Row],[TE_COEFFICIENT_MANUAL]],PROPERTIES[[#This Row],[TE_COEFFICIENT_CALC]]),3)</f>
        <v>0.3</v>
      </c>
      <c r="X754" s="9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1">
        <v>0</v>
      </c>
      <c r="Z754" s="7">
        <v>0</v>
      </c>
      <c r="AA754" t="s">
        <v>2010</v>
      </c>
      <c r="AB754" t="s">
        <v>238</v>
      </c>
      <c r="AC754" t="s">
        <v>238</v>
      </c>
      <c r="AD754" s="2" t="s">
        <v>238</v>
      </c>
      <c r="AE754" s="2" t="s">
        <v>253</v>
      </c>
      <c r="AF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4" s="2" t="str">
        <f>SUBSTITUTE(SUBSTITUTE(PROPERTIES[[#This Row],[PURCHASECOST_VALUE]], "PURCHASECOST_", ""), "_VALUE", "")</f>
        <v>COACH</v>
      </c>
      <c r="AI754" s="7" t="str" cm="1">
        <f t="array" ref="AI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4" s="43" t="b">
        <v>0</v>
      </c>
      <c r="AK754" s="8" t="b">
        <v>0</v>
      </c>
      <c r="BB754"/>
      <c r="BC754"/>
      <c r="BD754"/>
    </row>
    <row r="755" spans="1:56">
      <c r="A755" s="2" t="s">
        <v>127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5" t="str">
        <f>_xlfn.XLOOKUP(PROPERTIES[[#This Row],[VEHIDCODE]],CONTROL[VEHIDCODE],CONTROL[ENGLISH])</f>
        <v>UIC-X Mail Coach</v>
      </c>
      <c r="G755" s="45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8">
        <v>40</v>
      </c>
      <c r="R755">
        <v>0</v>
      </c>
      <c r="S755">
        <v>160</v>
      </c>
      <c r="T755" s="25">
        <v>0</v>
      </c>
      <c r="U755" s="24">
        <f>IFERROR(PROPERTIES[[#This Row],[TE_STARTING_KN]]/(PROPERTIES[[#This Row],[WEIGHT]]*9.81),0)</f>
        <v>0</v>
      </c>
      <c r="V755" s="24">
        <v>0.3</v>
      </c>
      <c r="W755" s="21">
        <f>ROUND(IF(IFERROR(PROPERTIES[[#This Row],[TE_COEFFICIENT_CALC]],0)=0,PROPERTIES[[#This Row],[TE_COEFFICIENT_MANUAL]],PROPERTIES[[#This Row],[TE_COEFFICIENT_CALC]]),3)</f>
        <v>0.3</v>
      </c>
      <c r="X755" s="9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1">
        <v>0</v>
      </c>
      <c r="Z755" s="7">
        <v>0</v>
      </c>
      <c r="AA755" t="s">
        <v>2010</v>
      </c>
      <c r="AB755" t="s">
        <v>238</v>
      </c>
      <c r="AC755" t="s">
        <v>238</v>
      </c>
      <c r="AD755" s="2" t="s">
        <v>238</v>
      </c>
      <c r="AE755" s="2" t="s">
        <v>253</v>
      </c>
      <c r="AF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5" s="2" t="str">
        <f>SUBSTITUTE(SUBSTITUTE(PROPERTIES[[#This Row],[PURCHASECOST_VALUE]], "PURCHASECOST_", ""), "_VALUE", "")</f>
        <v>COACH</v>
      </c>
      <c r="AI755" s="7" t="str" cm="1">
        <f t="array" ref="AI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5" s="43" t="b">
        <v>0</v>
      </c>
      <c r="AK755" s="8" t="b">
        <v>0</v>
      </c>
      <c r="BB755"/>
      <c r="BC755"/>
      <c r="BD755"/>
    </row>
    <row r="756" spans="1:56">
      <c r="A756" s="2" t="s">
        <v>128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5" t="str">
        <f>_xlfn.XLOOKUP(PROPERTIES[[#This Row],[VEHIDCODE]],CONTROL[VEHIDCODE],CONTROL[ENGLISH])</f>
        <v>Indian Intercity Coach</v>
      </c>
      <c r="G756" s="45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8">
        <v>42</v>
      </c>
      <c r="R756">
        <v>0</v>
      </c>
      <c r="S756">
        <v>130</v>
      </c>
      <c r="T756" s="25">
        <v>0</v>
      </c>
      <c r="U756" s="24">
        <f>IFERROR(PROPERTIES[[#This Row],[TE_STARTING_KN]]/(PROPERTIES[[#This Row],[WEIGHT]]*9.81),0)</f>
        <v>0</v>
      </c>
      <c r="V756" s="24">
        <v>0.3</v>
      </c>
      <c r="W756" s="21">
        <f>ROUND(IF(IFERROR(PROPERTIES[[#This Row],[TE_COEFFICIENT_CALC]],0)=0,PROPERTIES[[#This Row],[TE_COEFFICIENT_MANUAL]],PROPERTIES[[#This Row],[TE_COEFFICIENT_CALC]]),3)</f>
        <v>0.3</v>
      </c>
      <c r="X756" s="9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1">
        <v>0</v>
      </c>
      <c r="Z756" s="7">
        <v>0</v>
      </c>
      <c r="AA756" t="s">
        <v>247</v>
      </c>
      <c r="AB756" t="s">
        <v>238</v>
      </c>
      <c r="AC756" t="s">
        <v>238</v>
      </c>
      <c r="AD756" s="2" t="s">
        <v>238</v>
      </c>
      <c r="AE756" s="2" t="s">
        <v>253</v>
      </c>
      <c r="AF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6" s="2" t="str">
        <f>SUBSTITUTE(SUBSTITUTE(PROPERTIES[[#This Row],[PURCHASECOST_VALUE]], "PURCHASECOST_", ""), "_VALUE", "")</f>
        <v>COACH</v>
      </c>
      <c r="AI756" s="7" t="str" cm="1">
        <f t="array" ref="AI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6" s="43" t="b">
        <v>0</v>
      </c>
      <c r="AK756" s="8" t="b">
        <v>0</v>
      </c>
      <c r="BB756"/>
      <c r="BC756"/>
      <c r="BD756"/>
    </row>
    <row r="757" spans="1:56">
      <c r="A757" s="2" t="s">
        <v>129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5" t="str">
        <f>_xlfn.XLOOKUP(PROPERTIES[[#This Row],[VEHIDCODE]],CONTROL[VEHIDCODE],CONTROL[ENGLISH])</f>
        <v>Indian Local Coach</v>
      </c>
      <c r="G757" s="45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8">
        <v>39</v>
      </c>
      <c r="R757">
        <v>0</v>
      </c>
      <c r="S757">
        <v>110</v>
      </c>
      <c r="T757" s="25">
        <v>0</v>
      </c>
      <c r="U757" s="24">
        <f>IFERROR(PROPERTIES[[#This Row],[TE_STARTING_KN]]/(PROPERTIES[[#This Row],[WEIGHT]]*9.81),0)</f>
        <v>0</v>
      </c>
      <c r="V757" s="24">
        <v>0.3</v>
      </c>
      <c r="W757" s="21">
        <f>ROUND(IF(IFERROR(PROPERTIES[[#This Row],[TE_COEFFICIENT_CALC]],0)=0,PROPERTIES[[#This Row],[TE_COEFFICIENT_MANUAL]],PROPERTIES[[#This Row],[TE_COEFFICIENT_CALC]]),3)</f>
        <v>0.3</v>
      </c>
      <c r="X757" s="9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1">
        <v>0</v>
      </c>
      <c r="Z757" s="7">
        <v>0</v>
      </c>
      <c r="AA757" t="s">
        <v>247</v>
      </c>
      <c r="AB757" t="s">
        <v>238</v>
      </c>
      <c r="AC757" t="s">
        <v>238</v>
      </c>
      <c r="AD757" s="2" t="s">
        <v>238</v>
      </c>
      <c r="AE757" s="2" t="s">
        <v>253</v>
      </c>
      <c r="AF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7" s="2" t="str">
        <f>SUBSTITUTE(SUBSTITUTE(PROPERTIES[[#This Row],[PURCHASECOST_VALUE]], "PURCHASECOST_", ""), "_VALUE", "")</f>
        <v>COACH</v>
      </c>
      <c r="AI757" s="7" t="str" cm="1">
        <f t="array" ref="AI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7" s="43" t="b">
        <v>0</v>
      </c>
      <c r="AK757" s="8" t="b">
        <v>0</v>
      </c>
      <c r="BB757"/>
      <c r="BC757"/>
      <c r="BD757"/>
    </row>
    <row r="758" spans="1:56">
      <c r="A758" s="2" t="s">
        <v>130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5" t="str">
        <f>_xlfn.XLOOKUP(PROPERTIES[[#This Row],[VEHIDCODE]],CONTROL[VEHIDCODE],CONTROL[ENGLISH])</f>
        <v>Indian Regional Coach</v>
      </c>
      <c r="G758" s="45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8">
        <v>37.5</v>
      </c>
      <c r="R758">
        <v>0</v>
      </c>
      <c r="S758">
        <v>110</v>
      </c>
      <c r="T758" s="25">
        <v>0</v>
      </c>
      <c r="U758" s="24">
        <f>IFERROR(PROPERTIES[[#This Row],[TE_STARTING_KN]]/(PROPERTIES[[#This Row],[WEIGHT]]*9.81),0)</f>
        <v>0</v>
      </c>
      <c r="V758" s="24">
        <v>0.3</v>
      </c>
      <c r="W758" s="21">
        <f>ROUND(IF(IFERROR(PROPERTIES[[#This Row],[TE_COEFFICIENT_CALC]],0)=0,PROPERTIES[[#This Row],[TE_COEFFICIENT_MANUAL]],PROPERTIES[[#This Row],[TE_COEFFICIENT_CALC]]),3)</f>
        <v>0.3</v>
      </c>
      <c r="X758" s="9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1">
        <v>0</v>
      </c>
      <c r="Z758" s="7">
        <v>0</v>
      </c>
      <c r="AA758" t="s">
        <v>247</v>
      </c>
      <c r="AB758" t="s">
        <v>238</v>
      </c>
      <c r="AC758" t="s">
        <v>238</v>
      </c>
      <c r="AD758" s="2" t="s">
        <v>238</v>
      </c>
      <c r="AE758" s="2" t="s">
        <v>253</v>
      </c>
      <c r="AF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8" s="2" t="str">
        <f>SUBSTITUTE(SUBSTITUTE(PROPERTIES[[#This Row],[PURCHASECOST_VALUE]], "PURCHASECOST_", ""), "_VALUE", "")</f>
        <v>COACH</v>
      </c>
      <c r="AI758" s="7" t="str" cm="1">
        <f t="array" ref="AI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8" s="43" t="b">
        <v>0</v>
      </c>
      <c r="AK758" s="8" t="b">
        <v>0</v>
      </c>
      <c r="BB758"/>
      <c r="BC758"/>
      <c r="BD758"/>
    </row>
    <row r="759" spans="1:56">
      <c r="A759" s="2" t="s">
        <v>131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5" t="str">
        <f>_xlfn.XLOOKUP(PROPERTIES[[#This Row],[VEHIDCODE]],CONTROL[VEHIDCODE],CONTROL[ENGLISH])</f>
        <v>Indian Mail Coach</v>
      </c>
      <c r="G759" s="45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8">
        <v>38</v>
      </c>
      <c r="R759">
        <v>0</v>
      </c>
      <c r="S759">
        <v>110</v>
      </c>
      <c r="T759" s="25">
        <v>0</v>
      </c>
      <c r="U759" s="24">
        <f>IFERROR(PROPERTIES[[#This Row],[TE_STARTING_KN]]/(PROPERTIES[[#This Row],[WEIGHT]]*9.81),0)</f>
        <v>0</v>
      </c>
      <c r="V759" s="24">
        <v>0.3</v>
      </c>
      <c r="W759" s="21">
        <f>ROUND(IF(IFERROR(PROPERTIES[[#This Row],[TE_COEFFICIENT_CALC]],0)=0,PROPERTIES[[#This Row],[TE_COEFFICIENT_MANUAL]],PROPERTIES[[#This Row],[TE_COEFFICIENT_CALC]]),3)</f>
        <v>0.3</v>
      </c>
      <c r="X759" s="9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1">
        <v>0</v>
      </c>
      <c r="Z759" s="7">
        <v>0</v>
      </c>
      <c r="AA759" t="s">
        <v>247</v>
      </c>
      <c r="AB759" t="s">
        <v>238</v>
      </c>
      <c r="AC759" t="s">
        <v>238</v>
      </c>
      <c r="AD759" s="2" t="s">
        <v>238</v>
      </c>
      <c r="AE759" s="2" t="s">
        <v>253</v>
      </c>
      <c r="AF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9" s="2" t="str">
        <f>SUBSTITUTE(SUBSTITUTE(PROPERTIES[[#This Row],[PURCHASECOST_VALUE]], "PURCHASECOST_", ""), "_VALUE", "")</f>
        <v>COACH</v>
      </c>
      <c r="AI759" s="7" t="str" cm="1">
        <f t="array" ref="AI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9" s="43" t="b">
        <v>0</v>
      </c>
      <c r="AK759" s="8" t="b">
        <v>0</v>
      </c>
      <c r="BB759"/>
      <c r="BC759"/>
      <c r="BD759"/>
    </row>
    <row r="760" spans="1:56">
      <c r="A760" s="2" t="s">
        <v>132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5" t="str">
        <f>_xlfn.XLOOKUP(PROPERTIES[[#This Row],[VEHIDCODE]],CONTROL[VEHIDCODE],CONTROL[ENGLISH])</f>
        <v>Eurofima Coach</v>
      </c>
      <c r="G760" s="45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8">
        <v>42</v>
      </c>
      <c r="R760">
        <v>0</v>
      </c>
      <c r="S760">
        <v>200</v>
      </c>
      <c r="T760" s="25">
        <v>0</v>
      </c>
      <c r="U760" s="24">
        <f>IFERROR(PROPERTIES[[#This Row],[TE_STARTING_KN]]/(PROPERTIES[[#This Row],[WEIGHT]]*9.81),0)</f>
        <v>0</v>
      </c>
      <c r="V760" s="24">
        <v>0.3</v>
      </c>
      <c r="W760" s="21">
        <f>ROUND(IF(IFERROR(PROPERTIES[[#This Row],[TE_COEFFICIENT_CALC]],0)=0,PROPERTIES[[#This Row],[TE_COEFFICIENT_MANUAL]],PROPERTIES[[#This Row],[TE_COEFFICIENT_CALC]]),3)</f>
        <v>0.3</v>
      </c>
      <c r="X760" s="9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1">
        <v>0</v>
      </c>
      <c r="Z760" s="7">
        <v>0</v>
      </c>
      <c r="AA760" t="s">
        <v>2010</v>
      </c>
      <c r="AB760" t="s">
        <v>238</v>
      </c>
      <c r="AC760" t="s">
        <v>238</v>
      </c>
      <c r="AD760" s="2" t="s">
        <v>238</v>
      </c>
      <c r="AE760" s="2" t="s">
        <v>253</v>
      </c>
      <c r="AF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0" s="2" t="str">
        <f>SUBSTITUTE(SUBSTITUTE(PROPERTIES[[#This Row],[PURCHASECOST_VALUE]], "PURCHASECOST_", ""), "_VALUE", "")</f>
        <v>COACH</v>
      </c>
      <c r="AI760" s="7" t="str" cm="1">
        <f t="array" ref="AI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0" s="43" t="b">
        <v>0</v>
      </c>
      <c r="AK760" s="8" t="b">
        <v>0</v>
      </c>
      <c r="BB760"/>
      <c r="BC760"/>
      <c r="BD760"/>
    </row>
    <row r="761" spans="1:56">
      <c r="A761" s="2" t="s">
        <v>133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5" t="str">
        <f>_xlfn.XLOOKUP(PROPERTIES[[#This Row],[VEHIDCODE]],CONTROL[VEHIDCODE],CONTROL[ENGLISH])</f>
        <v>InterRegio Coach</v>
      </c>
      <c r="G761" s="45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8">
        <v>40</v>
      </c>
      <c r="R761">
        <v>0</v>
      </c>
      <c r="S761">
        <v>200</v>
      </c>
      <c r="T761" s="25">
        <v>0</v>
      </c>
      <c r="U761" s="24">
        <f>IFERROR(PROPERTIES[[#This Row],[TE_STARTING_KN]]/(PROPERTIES[[#This Row],[WEIGHT]]*9.81),0)</f>
        <v>0</v>
      </c>
      <c r="V761" s="24">
        <v>0.3</v>
      </c>
      <c r="W761" s="21">
        <f>ROUND(IF(IFERROR(PROPERTIES[[#This Row],[TE_COEFFICIENT_CALC]],0)=0,PROPERTIES[[#This Row],[TE_COEFFICIENT_MANUAL]],PROPERTIES[[#This Row],[TE_COEFFICIENT_CALC]]),3)</f>
        <v>0.3</v>
      </c>
      <c r="X761" s="9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1">
        <v>0</v>
      </c>
      <c r="Z761" s="7">
        <v>0</v>
      </c>
      <c r="AA761" t="s">
        <v>2010</v>
      </c>
      <c r="AB761" t="s">
        <v>238</v>
      </c>
      <c r="AC761" t="s">
        <v>238</v>
      </c>
      <c r="AD761" s="2" t="s">
        <v>238</v>
      </c>
      <c r="AE761" s="2" t="s">
        <v>253</v>
      </c>
      <c r="AF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1" s="2" t="str">
        <f>SUBSTITUTE(SUBSTITUTE(PROPERTIES[[#This Row],[PURCHASECOST_VALUE]], "PURCHASECOST_", ""), "_VALUE", "")</f>
        <v>COACH</v>
      </c>
      <c r="AI761" s="7" t="str" cm="1">
        <f t="array" ref="AI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1" s="43" t="b">
        <v>0</v>
      </c>
      <c r="AK761" s="8" t="b">
        <v>0</v>
      </c>
      <c r="BB761"/>
      <c r="BC761"/>
      <c r="BD761"/>
    </row>
    <row r="762" spans="1:56">
      <c r="A762" s="2" t="s">
        <v>134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5" t="str">
        <f>_xlfn.XLOOKUP(PROPERTIES[[#This Row],[VEHIDCODE]],CONTROL[VEHIDCODE],CONTROL[ENGLISH])</f>
        <v>'Silberling' Commuter Coach</v>
      </c>
      <c r="G762" s="45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8">
        <v>31</v>
      </c>
      <c r="R762">
        <v>0</v>
      </c>
      <c r="S762">
        <v>140</v>
      </c>
      <c r="T762" s="25">
        <v>0</v>
      </c>
      <c r="U762" s="24">
        <f>IFERROR(PROPERTIES[[#This Row],[TE_STARTING_KN]]/(PROPERTIES[[#This Row],[WEIGHT]]*9.81),0)</f>
        <v>0</v>
      </c>
      <c r="V762" s="24">
        <v>0.3</v>
      </c>
      <c r="W762" s="21">
        <f>ROUND(IF(IFERROR(PROPERTIES[[#This Row],[TE_COEFFICIENT_CALC]],0)=0,PROPERTIES[[#This Row],[TE_COEFFICIENT_MANUAL]],PROPERTIES[[#This Row],[TE_COEFFICIENT_CALC]]),3)</f>
        <v>0.3</v>
      </c>
      <c r="X762" s="9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1">
        <v>0</v>
      </c>
      <c r="Z762" s="7">
        <v>0</v>
      </c>
      <c r="AA762" t="s">
        <v>2010</v>
      </c>
      <c r="AB762" t="s">
        <v>238</v>
      </c>
      <c r="AC762" t="s">
        <v>238</v>
      </c>
      <c r="AD762" s="2" t="s">
        <v>238</v>
      </c>
      <c r="AE762" s="2" t="s">
        <v>253</v>
      </c>
      <c r="AF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2" s="2" t="str">
        <f>SUBSTITUTE(SUBSTITUTE(PROPERTIES[[#This Row],[PURCHASECOST_VALUE]], "PURCHASECOST_", ""), "_VALUE", "")</f>
        <v>COACH</v>
      </c>
      <c r="AI762" s="7" t="str" cm="1">
        <f t="array" ref="AI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2" s="43" t="b">
        <v>0</v>
      </c>
      <c r="AK762" s="8" t="b">
        <v>0</v>
      </c>
      <c r="BB762"/>
      <c r="BC762"/>
      <c r="BD762"/>
    </row>
    <row r="763" spans="1:56">
      <c r="A763" s="2" t="s">
        <v>135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5" t="str">
        <f>_xlfn.XLOOKUP(PROPERTIES[[#This Row],[VEHIDCODE]],CONTROL[VEHIDCODE],CONTROL[ENGLISH])</f>
        <v>Eurofima Mail Coach</v>
      </c>
      <c r="G763" s="45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8">
        <v>40</v>
      </c>
      <c r="R763">
        <v>0</v>
      </c>
      <c r="S763">
        <v>200</v>
      </c>
      <c r="T763" s="25">
        <v>0</v>
      </c>
      <c r="U763" s="24">
        <f>IFERROR(PROPERTIES[[#This Row],[TE_STARTING_KN]]/(PROPERTIES[[#This Row],[WEIGHT]]*9.81),0)</f>
        <v>0</v>
      </c>
      <c r="V763" s="24">
        <v>0.3</v>
      </c>
      <c r="W763" s="21">
        <f>ROUND(IF(IFERROR(PROPERTIES[[#This Row],[TE_COEFFICIENT_CALC]],0)=0,PROPERTIES[[#This Row],[TE_COEFFICIENT_MANUAL]],PROPERTIES[[#This Row],[TE_COEFFICIENT_CALC]]),3)</f>
        <v>0.3</v>
      </c>
      <c r="X763" s="9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1">
        <v>0</v>
      </c>
      <c r="Z763" s="7">
        <v>0</v>
      </c>
      <c r="AA763" t="s">
        <v>2010</v>
      </c>
      <c r="AB763" t="s">
        <v>238</v>
      </c>
      <c r="AC763" t="s">
        <v>238</v>
      </c>
      <c r="AD763" s="2" t="s">
        <v>238</v>
      </c>
      <c r="AE763" s="2" t="s">
        <v>253</v>
      </c>
      <c r="AF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3" s="2" t="str">
        <f>SUBSTITUTE(SUBSTITUTE(PROPERTIES[[#This Row],[PURCHASECOST_VALUE]], "PURCHASECOST_", ""), "_VALUE", "")</f>
        <v>COACH</v>
      </c>
      <c r="AI763" s="7" t="str" cm="1">
        <f t="array" ref="AI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3" s="43" t="b">
        <v>0</v>
      </c>
      <c r="AK763" s="8" t="b">
        <v>0</v>
      </c>
      <c r="BB763"/>
      <c r="BC763"/>
      <c r="BD763"/>
    </row>
    <row r="764" spans="1:56">
      <c r="A764" s="2" t="s">
        <v>136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5" t="str">
        <f>_xlfn.XLOOKUP(PROPERTIES[[#This Row],[VEHIDCODE]],CONTROL[VEHIDCODE],CONTROL[ENGLISH])</f>
        <v>Double Decker Coach</v>
      </c>
      <c r="G764" s="45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8">
        <v>50</v>
      </c>
      <c r="R764">
        <v>0</v>
      </c>
      <c r="S764">
        <v>140</v>
      </c>
      <c r="T764" s="25">
        <v>0</v>
      </c>
      <c r="U764" s="24">
        <f>IFERROR(PROPERTIES[[#This Row],[TE_STARTING_KN]]/(PROPERTIES[[#This Row],[WEIGHT]]*9.81),0)</f>
        <v>0</v>
      </c>
      <c r="V764" s="24">
        <v>0.3</v>
      </c>
      <c r="W764" s="21">
        <f>ROUND(IF(IFERROR(PROPERTIES[[#This Row],[TE_COEFFICIENT_CALC]],0)=0,PROPERTIES[[#This Row],[TE_COEFFICIENT_MANUAL]],PROPERTIES[[#This Row],[TE_COEFFICIENT_CALC]]),3)</f>
        <v>0.3</v>
      </c>
      <c r="X764" s="9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1">
        <v>0</v>
      </c>
      <c r="Z764" s="7">
        <v>0</v>
      </c>
      <c r="AA764" t="s">
        <v>248</v>
      </c>
      <c r="AB764" t="s">
        <v>247</v>
      </c>
      <c r="AC764" t="s">
        <v>238</v>
      </c>
      <c r="AD764" s="2" t="s">
        <v>238</v>
      </c>
      <c r="AE764" s="2" t="s">
        <v>253</v>
      </c>
      <c r="AF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4" s="2" t="str">
        <f>SUBSTITUTE(SUBSTITUTE(PROPERTIES[[#This Row],[PURCHASECOST_VALUE]], "PURCHASECOST_", ""), "_VALUE", "")</f>
        <v>COACH</v>
      </c>
      <c r="AI764" s="7" t="str" cm="1">
        <f t="array" ref="AI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4" s="43" t="b">
        <v>0</v>
      </c>
      <c r="AK764" s="8" t="b">
        <v>0</v>
      </c>
      <c r="BB764"/>
      <c r="BC764"/>
      <c r="BD764"/>
    </row>
    <row r="765" spans="1:56">
      <c r="A765" s="2" t="s">
        <v>137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5" t="str">
        <f>_xlfn.XLOOKUP(PROPERTIES[[#This Row],[VEHIDCODE]],CONTROL[VEHIDCODE],CONTROL[ENGLISH])</f>
        <v>Russian Intercity Sleeper Coach</v>
      </c>
      <c r="G765" s="45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8">
        <v>58</v>
      </c>
      <c r="R765">
        <v>0</v>
      </c>
      <c r="S765">
        <v>120</v>
      </c>
      <c r="T765" s="25">
        <v>0</v>
      </c>
      <c r="U765" s="24">
        <f>IFERROR(PROPERTIES[[#This Row],[TE_STARTING_KN]]/(PROPERTIES[[#This Row],[WEIGHT]]*9.81),0)</f>
        <v>0</v>
      </c>
      <c r="V765" s="24">
        <v>0.3</v>
      </c>
      <c r="W765" s="21">
        <f>ROUND(IF(IFERROR(PROPERTIES[[#This Row],[TE_COEFFICIENT_CALC]],0)=0,PROPERTIES[[#This Row],[TE_COEFFICIENT_MANUAL]],PROPERTIES[[#This Row],[TE_COEFFICIENT_CALC]]),3)</f>
        <v>0.3</v>
      </c>
      <c r="X765" s="9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1">
        <v>0</v>
      </c>
      <c r="Z765" s="7">
        <v>0</v>
      </c>
      <c r="AA765" t="s">
        <v>248</v>
      </c>
      <c r="AB765" t="s">
        <v>247</v>
      </c>
      <c r="AC765" t="s">
        <v>238</v>
      </c>
      <c r="AD765" s="2" t="s">
        <v>238</v>
      </c>
      <c r="AE765" s="2" t="s">
        <v>253</v>
      </c>
      <c r="AF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5" s="2" t="str">
        <f>SUBSTITUTE(SUBSTITUTE(PROPERTIES[[#This Row],[PURCHASECOST_VALUE]], "PURCHASECOST_", ""), "_VALUE", "")</f>
        <v>COACH</v>
      </c>
      <c r="AI765" s="7" t="str" cm="1">
        <f t="array" ref="AI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5" s="43" t="b">
        <v>0</v>
      </c>
      <c r="AK765" s="8" t="b">
        <v>0</v>
      </c>
      <c r="BB765"/>
      <c r="BC765"/>
      <c r="BD765"/>
    </row>
    <row r="766" spans="1:56">
      <c r="A766" s="2" t="s">
        <v>138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5" t="str">
        <f>_xlfn.XLOOKUP(PROPERTIES[[#This Row],[VEHIDCODE]],CONTROL[VEHIDCODE],CONTROL[ENGLISH])</f>
        <v>Russian Regional Coach</v>
      </c>
      <c r="G766" s="45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8">
        <v>45</v>
      </c>
      <c r="R766">
        <v>0</v>
      </c>
      <c r="S766">
        <v>130</v>
      </c>
      <c r="T766" s="25">
        <v>0</v>
      </c>
      <c r="U766" s="24">
        <f>IFERROR(PROPERTIES[[#This Row],[TE_STARTING_KN]]/(PROPERTIES[[#This Row],[WEIGHT]]*9.81),0)</f>
        <v>0</v>
      </c>
      <c r="V766" s="24">
        <v>0.3</v>
      </c>
      <c r="W766" s="21">
        <f>ROUND(IF(IFERROR(PROPERTIES[[#This Row],[TE_COEFFICIENT_CALC]],0)=0,PROPERTIES[[#This Row],[TE_COEFFICIENT_MANUAL]],PROPERTIES[[#This Row],[TE_COEFFICIENT_CALC]]),3)</f>
        <v>0.3</v>
      </c>
      <c r="X766" s="9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1">
        <v>0</v>
      </c>
      <c r="Z766" s="7">
        <v>0</v>
      </c>
      <c r="AA766" t="s">
        <v>248</v>
      </c>
      <c r="AB766" t="s">
        <v>247</v>
      </c>
      <c r="AC766" t="s">
        <v>238</v>
      </c>
      <c r="AD766" s="2" t="s">
        <v>238</v>
      </c>
      <c r="AE766" s="2" t="s">
        <v>253</v>
      </c>
      <c r="AF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6" s="2" t="str">
        <f>SUBSTITUTE(SUBSTITUTE(PROPERTIES[[#This Row],[PURCHASECOST_VALUE]], "PURCHASECOST_", ""), "_VALUE", "")</f>
        <v>COACH</v>
      </c>
      <c r="AI766" s="7" t="str" cm="1">
        <f t="array" ref="AI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6" s="43" t="b">
        <v>0</v>
      </c>
      <c r="AK766" s="8" t="b">
        <v>0</v>
      </c>
      <c r="BB766"/>
      <c r="BC766"/>
      <c r="BD766"/>
    </row>
    <row r="767" spans="1:56">
      <c r="A767" s="2" t="s">
        <v>139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5" t="str">
        <f>_xlfn.XLOOKUP(PROPERTIES[[#This Row],[VEHIDCODE]],CONTROL[VEHIDCODE],CONTROL[ENGLISH])</f>
        <v>Russian Mail Coach</v>
      </c>
      <c r="G767" s="45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8">
        <v>52</v>
      </c>
      <c r="R767">
        <v>0</v>
      </c>
      <c r="S767">
        <v>160</v>
      </c>
      <c r="T767" s="25">
        <v>0</v>
      </c>
      <c r="U767" s="24">
        <f>IFERROR(PROPERTIES[[#This Row],[TE_STARTING_KN]]/(PROPERTIES[[#This Row],[WEIGHT]]*9.81),0)</f>
        <v>0</v>
      </c>
      <c r="V767" s="24">
        <v>0.3</v>
      </c>
      <c r="W767" s="21">
        <f>ROUND(IF(IFERROR(PROPERTIES[[#This Row],[TE_COEFFICIENT_CALC]],0)=0,PROPERTIES[[#This Row],[TE_COEFFICIENT_MANUAL]],PROPERTIES[[#This Row],[TE_COEFFICIENT_CALC]]),3)</f>
        <v>0.3</v>
      </c>
      <c r="X767" s="9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1">
        <v>0</v>
      </c>
      <c r="Z767" s="7">
        <v>0</v>
      </c>
      <c r="AA767" t="s">
        <v>248</v>
      </c>
      <c r="AB767" t="s">
        <v>247</v>
      </c>
      <c r="AC767" t="s">
        <v>238</v>
      </c>
      <c r="AD767" s="2" t="s">
        <v>238</v>
      </c>
      <c r="AE767" s="2" t="s">
        <v>253</v>
      </c>
      <c r="AF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7" s="2" t="str">
        <f>SUBSTITUTE(SUBSTITUTE(PROPERTIES[[#This Row],[PURCHASECOST_VALUE]], "PURCHASECOST_", ""), "_VALUE", "")</f>
        <v>COACH</v>
      </c>
      <c r="AI767" s="7" t="str" cm="1">
        <f t="array" ref="AI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7" s="43" t="b">
        <v>0</v>
      </c>
      <c r="AK767" s="8" t="b">
        <v>0</v>
      </c>
      <c r="BB767"/>
      <c r="BC767"/>
      <c r="BD767"/>
    </row>
    <row r="768" spans="1:56">
      <c r="A768" s="2" t="s">
        <v>140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5" t="str">
        <f>_xlfn.XLOOKUP(PROPERTIES[[#This Row],[VEHIDCODE]],CONTROL[VEHIDCODE],CONTROL[ENGLISH])</f>
        <v>Superliner Coach</v>
      </c>
      <c r="G768" s="45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8">
        <v>71</v>
      </c>
      <c r="R768">
        <v>0</v>
      </c>
      <c r="S768">
        <v>160</v>
      </c>
      <c r="T768" s="25">
        <v>0</v>
      </c>
      <c r="U768" s="24">
        <f>IFERROR(PROPERTIES[[#This Row],[TE_STARTING_KN]]/(PROPERTIES[[#This Row],[WEIGHT]]*9.81),0)</f>
        <v>0</v>
      </c>
      <c r="V768" s="24">
        <v>0.3</v>
      </c>
      <c r="W768" s="21">
        <f>ROUND(IF(IFERROR(PROPERTIES[[#This Row],[TE_COEFFICIENT_CALC]],0)=0,PROPERTIES[[#This Row],[TE_COEFFICIENT_MANUAL]],PROPERTIES[[#This Row],[TE_COEFFICIENT_CALC]]),3)</f>
        <v>0.3</v>
      </c>
      <c r="X768" s="9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1">
        <v>0</v>
      </c>
      <c r="Z768" s="7">
        <v>0</v>
      </c>
      <c r="AA768" t="s">
        <v>249</v>
      </c>
      <c r="AB768" t="s">
        <v>241</v>
      </c>
      <c r="AC768" t="s">
        <v>238</v>
      </c>
      <c r="AD768" s="2" t="s">
        <v>238</v>
      </c>
      <c r="AE768" s="2" t="s">
        <v>253</v>
      </c>
      <c r="AF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8" s="2" t="str">
        <f>SUBSTITUTE(SUBSTITUTE(PROPERTIES[[#This Row],[PURCHASECOST_VALUE]], "PURCHASECOST_", ""), "_VALUE", "")</f>
        <v>COACH</v>
      </c>
      <c r="AI768" s="7" t="str" cm="1">
        <f t="array" ref="AI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8" s="43" t="b">
        <v>0</v>
      </c>
      <c r="AK768" s="8" t="b">
        <v>0</v>
      </c>
      <c r="BB768"/>
      <c r="BC768"/>
      <c r="BD768"/>
    </row>
    <row r="769" spans="1:56">
      <c r="A769" s="2" t="s">
        <v>141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5" t="str">
        <f>_xlfn.XLOOKUP(PROPERTIES[[#This Row],[VEHIDCODE]],CONTROL[VEHIDCODE],CONTROL[ENGLISH])</f>
        <v>Superliner California</v>
      </c>
      <c r="G769" s="45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8">
        <v>68</v>
      </c>
      <c r="R769">
        <v>0</v>
      </c>
      <c r="S769">
        <v>160</v>
      </c>
      <c r="T769" s="25">
        <v>0</v>
      </c>
      <c r="U769" s="24">
        <f>IFERROR(PROPERTIES[[#This Row],[TE_STARTING_KN]]/(PROPERTIES[[#This Row],[WEIGHT]]*9.81),0)</f>
        <v>0</v>
      </c>
      <c r="V769" s="24">
        <v>0.3</v>
      </c>
      <c r="W769" s="21">
        <f>ROUND(IF(IFERROR(PROPERTIES[[#This Row],[TE_COEFFICIENT_CALC]],0)=0,PROPERTIES[[#This Row],[TE_COEFFICIENT_MANUAL]],PROPERTIES[[#This Row],[TE_COEFFICIENT_CALC]]),3)</f>
        <v>0.3</v>
      </c>
      <c r="X769" s="9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1">
        <v>0</v>
      </c>
      <c r="Z769" s="7">
        <v>0</v>
      </c>
      <c r="AA769" t="s">
        <v>249</v>
      </c>
      <c r="AB769" t="s">
        <v>241</v>
      </c>
      <c r="AC769" t="s">
        <v>238</v>
      </c>
      <c r="AD769" s="2" t="s">
        <v>238</v>
      </c>
      <c r="AE769" s="2" t="s">
        <v>253</v>
      </c>
      <c r="AF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9" s="2" t="str">
        <f>SUBSTITUTE(SUBSTITUTE(PROPERTIES[[#This Row],[PURCHASECOST_VALUE]], "PURCHASECOST_", ""), "_VALUE", "")</f>
        <v>COACH</v>
      </c>
      <c r="AI769" s="7" t="str" cm="1">
        <f t="array" ref="AI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9" s="43" t="b">
        <v>0</v>
      </c>
      <c r="AK769" s="8" t="b">
        <v>0</v>
      </c>
      <c r="BB769"/>
      <c r="BC769"/>
      <c r="BD769"/>
    </row>
    <row r="770" spans="1:56">
      <c r="A770" s="2" t="s">
        <v>142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5" t="str">
        <f>_xlfn.XLOOKUP(PROPERTIES[[#This Row],[VEHIDCODE]],CONTROL[VEHIDCODE],CONTROL[ENGLISH])</f>
        <v>Amfleet Regional Coach</v>
      </c>
      <c r="G770" s="45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8">
        <v>48</v>
      </c>
      <c r="R770">
        <v>0</v>
      </c>
      <c r="S770">
        <v>200</v>
      </c>
      <c r="T770" s="25">
        <v>0</v>
      </c>
      <c r="U770" s="24">
        <f>IFERROR(PROPERTIES[[#This Row],[TE_STARTING_KN]]/(PROPERTIES[[#This Row],[WEIGHT]]*9.81),0)</f>
        <v>0</v>
      </c>
      <c r="V770" s="24">
        <v>0.3</v>
      </c>
      <c r="W770" s="21">
        <f>ROUND(IF(IFERROR(PROPERTIES[[#This Row],[TE_COEFFICIENT_CALC]],0)=0,PROPERTIES[[#This Row],[TE_COEFFICIENT_MANUAL]],PROPERTIES[[#This Row],[TE_COEFFICIENT_CALC]]),3)</f>
        <v>0.3</v>
      </c>
      <c r="X770" s="9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1">
        <v>0</v>
      </c>
      <c r="Z770" s="7">
        <v>0</v>
      </c>
      <c r="AA770" t="s">
        <v>249</v>
      </c>
      <c r="AB770" t="s">
        <v>241</v>
      </c>
      <c r="AC770" t="s">
        <v>238</v>
      </c>
      <c r="AD770" s="2" t="s">
        <v>238</v>
      </c>
      <c r="AE770" s="2" t="s">
        <v>253</v>
      </c>
      <c r="AF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0" s="2" t="str">
        <f>SUBSTITUTE(SUBSTITUTE(PROPERTIES[[#This Row],[PURCHASECOST_VALUE]], "PURCHASECOST_", ""), "_VALUE", "")</f>
        <v>COACH</v>
      </c>
      <c r="AI770" s="7" t="str" cm="1">
        <f t="array" ref="AI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0" s="43" t="b">
        <v>0</v>
      </c>
      <c r="AK770" s="8" t="b">
        <v>0</v>
      </c>
      <c r="BB770"/>
      <c r="BC770"/>
      <c r="BD770"/>
    </row>
    <row r="771" spans="1:56">
      <c r="A771" s="2" t="s">
        <v>143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5" t="str">
        <f>_xlfn.XLOOKUP(PROPERTIES[[#This Row],[VEHIDCODE]],CONTROL[VEHIDCODE],CONTROL[ENGLISH])</f>
        <v>Amfleet Intercity Coach</v>
      </c>
      <c r="G771" s="45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8">
        <v>49</v>
      </c>
      <c r="R771">
        <v>0</v>
      </c>
      <c r="S771">
        <v>200</v>
      </c>
      <c r="T771" s="25">
        <v>0</v>
      </c>
      <c r="U771" s="24">
        <f>IFERROR(PROPERTIES[[#This Row],[TE_STARTING_KN]]/(PROPERTIES[[#This Row],[WEIGHT]]*9.81),0)</f>
        <v>0</v>
      </c>
      <c r="V771" s="24">
        <v>0.3</v>
      </c>
      <c r="W771" s="21">
        <f>ROUND(IF(IFERROR(PROPERTIES[[#This Row],[TE_COEFFICIENT_CALC]],0)=0,PROPERTIES[[#This Row],[TE_COEFFICIENT_MANUAL]],PROPERTIES[[#This Row],[TE_COEFFICIENT_CALC]]),3)</f>
        <v>0.3</v>
      </c>
      <c r="X771" s="9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1">
        <v>0</v>
      </c>
      <c r="Z771" s="7">
        <v>0</v>
      </c>
      <c r="AA771" t="s">
        <v>249</v>
      </c>
      <c r="AB771" t="s">
        <v>241</v>
      </c>
      <c r="AC771" t="s">
        <v>238</v>
      </c>
      <c r="AD771" s="2" t="s">
        <v>238</v>
      </c>
      <c r="AE771" s="2" t="s">
        <v>253</v>
      </c>
      <c r="AF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1" s="2" t="str">
        <f>SUBSTITUTE(SUBSTITUTE(PROPERTIES[[#This Row],[PURCHASECOST_VALUE]], "PURCHASECOST_", ""), "_VALUE", "")</f>
        <v>COACH</v>
      </c>
      <c r="AI771" s="7" t="str" cm="1">
        <f t="array" ref="AI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1" s="43" t="b">
        <v>0</v>
      </c>
      <c r="AK771" s="8" t="b">
        <v>0</v>
      </c>
      <c r="BB771"/>
      <c r="BC771"/>
      <c r="BD771"/>
    </row>
    <row r="772" spans="1:56">
      <c r="A772" s="2" t="s">
        <v>144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5" t="str">
        <f>_xlfn.XLOOKUP(PROPERTIES[[#This Row],[VEHIDCODE]],CONTROL[VEHIDCODE],CONTROL[ENGLISH])</f>
        <v>Comet Commuter Coach</v>
      </c>
      <c r="G772" s="45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8">
        <v>42</v>
      </c>
      <c r="R772">
        <v>0</v>
      </c>
      <c r="S772">
        <v>160</v>
      </c>
      <c r="T772" s="25">
        <v>0</v>
      </c>
      <c r="U772" s="24">
        <f>IFERROR(PROPERTIES[[#This Row],[TE_STARTING_KN]]/(PROPERTIES[[#This Row],[WEIGHT]]*9.81),0)</f>
        <v>0</v>
      </c>
      <c r="V772" s="24">
        <v>0.3</v>
      </c>
      <c r="W772" s="21">
        <f>ROUND(IF(IFERROR(PROPERTIES[[#This Row],[TE_COEFFICIENT_CALC]],0)=0,PROPERTIES[[#This Row],[TE_COEFFICIENT_MANUAL]],PROPERTIES[[#This Row],[TE_COEFFICIENT_CALC]]),3)</f>
        <v>0.3</v>
      </c>
      <c r="X772" s="9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1">
        <v>0</v>
      </c>
      <c r="Z772" s="7">
        <v>0</v>
      </c>
      <c r="AA772" t="s">
        <v>249</v>
      </c>
      <c r="AB772" t="s">
        <v>241</v>
      </c>
      <c r="AC772" t="s">
        <v>238</v>
      </c>
      <c r="AD772" s="2" t="s">
        <v>238</v>
      </c>
      <c r="AE772" s="2" t="s">
        <v>253</v>
      </c>
      <c r="AF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2" s="2" t="str">
        <f>SUBSTITUTE(SUBSTITUTE(PROPERTIES[[#This Row],[PURCHASECOST_VALUE]], "PURCHASECOST_", ""), "_VALUE", "")</f>
        <v>COACH</v>
      </c>
      <c r="AI772" s="7" t="str" cm="1">
        <f t="array" ref="AI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2" s="43" t="b">
        <v>0</v>
      </c>
      <c r="AK772" s="8" t="b">
        <v>0</v>
      </c>
      <c r="BB772"/>
      <c r="BC772"/>
      <c r="BD772"/>
    </row>
    <row r="773" spans="1:56">
      <c r="A773" s="2" t="s">
        <v>145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5" t="str">
        <f>_xlfn.XLOOKUP(PROPERTIES[[#This Row],[VEHIDCODE]],CONTROL[VEHIDCODE],CONTROL[ENGLISH])</f>
        <v>Horizon Regional Coach</v>
      </c>
      <c r="G773" s="45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8">
        <v>43</v>
      </c>
      <c r="R773">
        <v>0</v>
      </c>
      <c r="S773">
        <v>200</v>
      </c>
      <c r="T773" s="25">
        <v>0</v>
      </c>
      <c r="U773" s="24">
        <f>IFERROR(PROPERTIES[[#This Row],[TE_STARTING_KN]]/(PROPERTIES[[#This Row],[WEIGHT]]*9.81),0)</f>
        <v>0</v>
      </c>
      <c r="V773" s="24">
        <v>0.3</v>
      </c>
      <c r="W773" s="21">
        <f>ROUND(IF(IFERROR(PROPERTIES[[#This Row],[TE_COEFFICIENT_CALC]],0)=0,PROPERTIES[[#This Row],[TE_COEFFICIENT_MANUAL]],PROPERTIES[[#This Row],[TE_COEFFICIENT_CALC]]),3)</f>
        <v>0.3</v>
      </c>
      <c r="X773" s="9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1">
        <v>0</v>
      </c>
      <c r="Z773" s="7">
        <v>0</v>
      </c>
      <c r="AA773" t="s">
        <v>249</v>
      </c>
      <c r="AB773" t="s">
        <v>241</v>
      </c>
      <c r="AC773" t="s">
        <v>238</v>
      </c>
      <c r="AD773" s="2" t="s">
        <v>238</v>
      </c>
      <c r="AE773" s="2" t="s">
        <v>253</v>
      </c>
      <c r="AF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3" s="2" t="str">
        <f>SUBSTITUTE(SUBSTITUTE(PROPERTIES[[#This Row],[PURCHASECOST_VALUE]], "PURCHASECOST_", ""), "_VALUE", "")</f>
        <v>COACH</v>
      </c>
      <c r="AI773" s="7" t="str" cm="1">
        <f t="array" ref="AI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3" s="43" t="b">
        <v>0</v>
      </c>
      <c r="AK773" s="8" t="b">
        <v>0</v>
      </c>
      <c r="BB773"/>
      <c r="BC773"/>
      <c r="BD773"/>
    </row>
    <row r="774" spans="1:56">
      <c r="A774" s="2" t="s">
        <v>146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5" t="str">
        <f>_xlfn.XLOOKUP(PROPERTIES[[#This Row],[VEHIDCODE]],CONTROL[VEHIDCODE],CONTROL[ENGLISH])</f>
        <v>Horizon Baggage Coach</v>
      </c>
      <c r="G774" s="45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8">
        <v>42</v>
      </c>
      <c r="R774">
        <v>0</v>
      </c>
      <c r="S774">
        <v>200</v>
      </c>
      <c r="T774" s="25">
        <v>0</v>
      </c>
      <c r="U774" s="24">
        <f>IFERROR(PROPERTIES[[#This Row],[TE_STARTING_KN]]/(PROPERTIES[[#This Row],[WEIGHT]]*9.81),0)</f>
        <v>0</v>
      </c>
      <c r="V774" s="24">
        <v>0.3</v>
      </c>
      <c r="W774" s="21">
        <f>ROUND(IF(IFERROR(PROPERTIES[[#This Row],[TE_COEFFICIENT_CALC]],0)=0,PROPERTIES[[#This Row],[TE_COEFFICIENT_MANUAL]],PROPERTIES[[#This Row],[TE_COEFFICIENT_CALC]]),3)</f>
        <v>0.3</v>
      </c>
      <c r="X774" s="9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1">
        <v>0</v>
      </c>
      <c r="Z774" s="7">
        <v>0</v>
      </c>
      <c r="AA774" t="s">
        <v>249</v>
      </c>
      <c r="AB774" t="s">
        <v>241</v>
      </c>
      <c r="AC774" t="s">
        <v>238</v>
      </c>
      <c r="AD774" s="2" t="s">
        <v>238</v>
      </c>
      <c r="AE774" s="2" t="s">
        <v>253</v>
      </c>
      <c r="AF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4" s="2" t="str">
        <f>SUBSTITUTE(SUBSTITUTE(PROPERTIES[[#This Row],[PURCHASECOST_VALUE]], "PURCHASECOST_", ""), "_VALUE", "")</f>
        <v>COACH</v>
      </c>
      <c r="AI774" s="7" t="str" cm="1">
        <f t="array" ref="AI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74" s="43" t="b">
        <v>0</v>
      </c>
      <c r="AK774" s="8" t="b">
        <v>0</v>
      </c>
      <c r="BB774"/>
      <c r="BC774"/>
      <c r="BD774"/>
    </row>
    <row r="775" spans="1:56">
      <c r="A775" s="2" t="s">
        <v>147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5" t="str">
        <f>_xlfn.XLOOKUP(PROPERTIES[[#This Row],[VEHIDCODE]],CONTROL[VEHIDCODE],CONTROL[ENGLISH])</f>
        <v>Bombardier Bi-level</v>
      </c>
      <c r="G775" s="45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8">
        <v>54</v>
      </c>
      <c r="R775">
        <v>0</v>
      </c>
      <c r="S775">
        <v>160</v>
      </c>
      <c r="T775" s="25">
        <v>0</v>
      </c>
      <c r="U775" s="24">
        <f>IFERROR(PROPERTIES[[#This Row],[TE_STARTING_KN]]/(PROPERTIES[[#This Row],[WEIGHT]]*9.81),0)</f>
        <v>0</v>
      </c>
      <c r="V775" s="24">
        <v>0.3</v>
      </c>
      <c r="W775" s="21">
        <f>ROUND(IF(IFERROR(PROPERTIES[[#This Row],[TE_COEFFICIENT_CALC]],0)=0,PROPERTIES[[#This Row],[TE_COEFFICIENT_MANUAL]],PROPERTIES[[#This Row],[TE_COEFFICIENT_CALC]]),3)</f>
        <v>0.3</v>
      </c>
      <c r="X775" s="9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1">
        <v>0</v>
      </c>
      <c r="Z775" s="7">
        <v>0</v>
      </c>
      <c r="AA775" t="s">
        <v>249</v>
      </c>
      <c r="AB775" t="s">
        <v>241</v>
      </c>
      <c r="AC775" t="s">
        <v>238</v>
      </c>
      <c r="AD775" s="2" t="s">
        <v>238</v>
      </c>
      <c r="AE775" s="2" t="s">
        <v>253</v>
      </c>
      <c r="AF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5" s="2" t="str">
        <f>SUBSTITUTE(SUBSTITUTE(PROPERTIES[[#This Row],[PURCHASECOST_VALUE]], "PURCHASECOST_", ""), "_VALUE", "")</f>
        <v>COACH</v>
      </c>
      <c r="AI775" s="7" t="str" cm="1">
        <f t="array" ref="AI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5" s="43" t="b">
        <v>0</v>
      </c>
      <c r="AK775" s="8" t="b">
        <v>0</v>
      </c>
      <c r="BB775"/>
      <c r="BC775"/>
      <c r="BD775"/>
    </row>
    <row r="776" spans="1:56">
      <c r="A776" s="2" t="s">
        <v>148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5" t="str">
        <f>_xlfn.XLOOKUP(PROPERTIES[[#This Row],[VEHIDCODE]],CONTROL[VEHIDCODE],CONTROL[ENGLISH])</f>
        <v>High Speed Coach</v>
      </c>
      <c r="G776" s="45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8">
        <v>52</v>
      </c>
      <c r="R776">
        <v>0</v>
      </c>
      <c r="S776">
        <v>250</v>
      </c>
      <c r="T776" s="25">
        <v>0</v>
      </c>
      <c r="U776" s="24">
        <f>IFERROR(PROPERTIES[[#This Row],[TE_STARTING_KN]]/(PROPERTIES[[#This Row],[WEIGHT]]*9.81),0)</f>
        <v>0</v>
      </c>
      <c r="V776" s="24">
        <v>0.3</v>
      </c>
      <c r="W776" s="21">
        <f>ROUND(IF(IFERROR(PROPERTIES[[#This Row],[TE_COEFFICIENT_CALC]],0)=0,PROPERTIES[[#This Row],[TE_COEFFICIENT_MANUAL]],PROPERTIES[[#This Row],[TE_COEFFICIENT_CALC]]),3)</f>
        <v>0.3</v>
      </c>
      <c r="X776" s="9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1">
        <v>0</v>
      </c>
      <c r="Z776" s="7">
        <v>0</v>
      </c>
      <c r="AA776" t="s">
        <v>250</v>
      </c>
      <c r="AB776" t="s">
        <v>238</v>
      </c>
      <c r="AC776" t="s">
        <v>238</v>
      </c>
      <c r="AD776" s="2" t="s">
        <v>238</v>
      </c>
      <c r="AE776" s="2" t="s">
        <v>253</v>
      </c>
      <c r="AF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6" s="2" t="str">
        <f>SUBSTITUTE(SUBSTITUTE(PROPERTIES[[#This Row],[PURCHASECOST_VALUE]], "PURCHASECOST_", ""), "_VALUE", "")</f>
        <v>COACH</v>
      </c>
      <c r="AI776" s="7" t="str" cm="1">
        <f t="array" ref="AI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76" s="43" t="b">
        <v>0</v>
      </c>
      <c r="AK776" s="8" t="b">
        <v>0</v>
      </c>
      <c r="BB776"/>
      <c r="BC776"/>
      <c r="BD776"/>
    </row>
    <row r="777" spans="1:56">
      <c r="A777" s="2" t="s">
        <v>149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5" t="str">
        <f>_xlfn.XLOOKUP(PROPERTIES[[#This Row],[VEHIDCODE]],CONTROL[VEHIDCODE],CONTROL[ENGLISH])</f>
        <v>Modern Regional Coach</v>
      </c>
      <c r="G777" s="45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8">
        <v>50</v>
      </c>
      <c r="R777">
        <v>0</v>
      </c>
      <c r="S777">
        <v>200</v>
      </c>
      <c r="T777" s="25">
        <v>0</v>
      </c>
      <c r="U777" s="24">
        <f>IFERROR(PROPERTIES[[#This Row],[TE_STARTING_KN]]/(PROPERTIES[[#This Row],[WEIGHT]]*9.81),0)</f>
        <v>0</v>
      </c>
      <c r="V777" s="24">
        <v>0.3</v>
      </c>
      <c r="W777" s="21">
        <f>ROUND(IF(IFERROR(PROPERTIES[[#This Row],[TE_COEFFICIENT_CALC]],0)=0,PROPERTIES[[#This Row],[TE_COEFFICIENT_MANUAL]],PROPERTIES[[#This Row],[TE_COEFFICIENT_CALC]]),3)</f>
        <v>0.3</v>
      </c>
      <c r="X777" s="9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1">
        <v>0</v>
      </c>
      <c r="Z777" s="7">
        <v>0</v>
      </c>
      <c r="AA777" t="s">
        <v>250</v>
      </c>
      <c r="AB777" t="s">
        <v>238</v>
      </c>
      <c r="AC777" t="s">
        <v>238</v>
      </c>
      <c r="AD777" s="2" t="s">
        <v>238</v>
      </c>
      <c r="AE777" s="2" t="s">
        <v>253</v>
      </c>
      <c r="AF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7" s="2" t="str">
        <f>SUBSTITUTE(SUBSTITUTE(PROPERTIES[[#This Row],[PURCHASECOST_VALUE]], "PURCHASECOST_", ""), "_VALUE", "")</f>
        <v>COACH</v>
      </c>
      <c r="AI777" s="7" t="str" cm="1">
        <f t="array" ref="AI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7" s="43" t="b">
        <v>0</v>
      </c>
      <c r="AK777" s="8" t="b">
        <v>0</v>
      </c>
      <c r="BB777"/>
      <c r="BC777"/>
      <c r="BD777"/>
    </row>
    <row r="778" spans="1:56">
      <c r="A778" s="2" t="s">
        <v>150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5" t="str">
        <f>_xlfn.XLOOKUP(PROPERTIES[[#This Row],[VEHIDCODE]],CONTROL[VEHIDCODE],CONTROL[ENGLISH])</f>
        <v>Modern Commuter Coach</v>
      </c>
      <c r="G778" s="45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8">
        <v>48</v>
      </c>
      <c r="R778">
        <v>0</v>
      </c>
      <c r="S778">
        <v>200</v>
      </c>
      <c r="T778" s="25">
        <v>0</v>
      </c>
      <c r="U778" s="24">
        <f>IFERROR(PROPERTIES[[#This Row],[TE_STARTING_KN]]/(PROPERTIES[[#This Row],[WEIGHT]]*9.81),0)</f>
        <v>0</v>
      </c>
      <c r="V778" s="24">
        <v>0.3</v>
      </c>
      <c r="W778" s="21">
        <f>ROUND(IF(IFERROR(PROPERTIES[[#This Row],[TE_COEFFICIENT_CALC]],0)=0,PROPERTIES[[#This Row],[TE_COEFFICIENT_MANUAL]],PROPERTIES[[#This Row],[TE_COEFFICIENT_CALC]]),3)</f>
        <v>0.3</v>
      </c>
      <c r="X778" s="9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1">
        <v>0</v>
      </c>
      <c r="Z778" s="7">
        <v>0</v>
      </c>
      <c r="AA778" t="s">
        <v>250</v>
      </c>
      <c r="AB778" t="s">
        <v>238</v>
      </c>
      <c r="AC778" t="s">
        <v>238</v>
      </c>
      <c r="AD778" s="2" t="s">
        <v>238</v>
      </c>
      <c r="AE778" s="2" t="s">
        <v>253</v>
      </c>
      <c r="AF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8" s="2" t="str">
        <f>SUBSTITUTE(SUBSTITUTE(PROPERTIES[[#This Row],[PURCHASECOST_VALUE]], "PURCHASECOST_", ""), "_VALUE", "")</f>
        <v>COACH</v>
      </c>
      <c r="AI778" s="7" t="str" cm="1">
        <f t="array" ref="AI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8" s="43" t="b">
        <v>0</v>
      </c>
      <c r="AK778" s="8" t="b">
        <v>0</v>
      </c>
      <c r="BB778"/>
      <c r="BC778"/>
      <c r="BD778"/>
    </row>
    <row r="779" spans="1:56">
      <c r="A779" s="2" t="s">
        <v>151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5" t="str">
        <f>_xlfn.XLOOKUP(PROPERTIES[[#This Row],[VEHIDCODE]],CONTROL[VEHIDCODE],CONTROL[ENGLISH])</f>
        <v xml:space="preserve">Modern Double Decker Coach </v>
      </c>
      <c r="G779" s="45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8">
        <v>55</v>
      </c>
      <c r="R779">
        <v>0</v>
      </c>
      <c r="S779">
        <v>160</v>
      </c>
      <c r="T779" s="25">
        <v>0</v>
      </c>
      <c r="U779" s="24">
        <f>IFERROR(PROPERTIES[[#This Row],[TE_STARTING_KN]]/(PROPERTIES[[#This Row],[WEIGHT]]*9.81),0)</f>
        <v>0</v>
      </c>
      <c r="V779" s="24">
        <v>0.3</v>
      </c>
      <c r="W779" s="21">
        <f>ROUND(IF(IFERROR(PROPERTIES[[#This Row],[TE_COEFFICIENT_CALC]],0)=0,PROPERTIES[[#This Row],[TE_COEFFICIENT_MANUAL]],PROPERTIES[[#This Row],[TE_COEFFICIENT_CALC]]),3)</f>
        <v>0.3</v>
      </c>
      <c r="X779" s="9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1">
        <v>0</v>
      </c>
      <c r="Z779" s="7">
        <v>0</v>
      </c>
      <c r="AA779" t="s">
        <v>250</v>
      </c>
      <c r="AB779" t="s">
        <v>238</v>
      </c>
      <c r="AC779" t="s">
        <v>238</v>
      </c>
      <c r="AD779" s="2" t="s">
        <v>238</v>
      </c>
      <c r="AE779" s="2" t="s">
        <v>253</v>
      </c>
      <c r="AF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9" s="2" t="str">
        <f>SUBSTITUTE(SUBSTITUTE(PROPERTIES[[#This Row],[PURCHASECOST_VALUE]], "PURCHASECOST_", ""), "_VALUE", "")</f>
        <v>COACH</v>
      </c>
      <c r="AI779" s="7" t="str" cm="1">
        <f t="array" ref="AI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9" s="43" t="b">
        <v>0</v>
      </c>
      <c r="AK779" s="8" t="b">
        <v>0</v>
      </c>
      <c r="BB779"/>
      <c r="BC779"/>
      <c r="BD779"/>
    </row>
    <row r="780" spans="1:56">
      <c r="A780" s="2" t="s">
        <v>152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5" t="str">
        <f>_xlfn.XLOOKUP(PROPERTIES[[#This Row],[VEHIDCODE]],CONTROL[VEHIDCODE],CONTROL[ENGLISH])</f>
        <v>High Speed Double Decker</v>
      </c>
      <c r="G780" s="45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8">
        <v>50</v>
      </c>
      <c r="R780">
        <v>0</v>
      </c>
      <c r="S780">
        <v>200</v>
      </c>
      <c r="T780" s="25">
        <v>0</v>
      </c>
      <c r="U780" s="24">
        <f>IFERROR(PROPERTIES[[#This Row],[TE_STARTING_KN]]/(PROPERTIES[[#This Row],[WEIGHT]]*9.81),0)</f>
        <v>0</v>
      </c>
      <c r="V780" s="24">
        <v>0.3</v>
      </c>
      <c r="W780" s="21">
        <f>ROUND(IF(IFERROR(PROPERTIES[[#This Row],[TE_COEFFICIENT_CALC]],0)=0,PROPERTIES[[#This Row],[TE_COEFFICIENT_MANUAL]],PROPERTIES[[#This Row],[TE_COEFFICIENT_CALC]]),3)</f>
        <v>0.3</v>
      </c>
      <c r="X780" s="9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1">
        <v>0</v>
      </c>
      <c r="Z780" s="7">
        <v>0</v>
      </c>
      <c r="AA780" t="s">
        <v>250</v>
      </c>
      <c r="AB780" t="s">
        <v>238</v>
      </c>
      <c r="AC780" t="s">
        <v>238</v>
      </c>
      <c r="AD780" s="2" t="s">
        <v>238</v>
      </c>
      <c r="AE780" s="2" t="s">
        <v>253</v>
      </c>
      <c r="AF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0" s="2" t="str">
        <f>SUBSTITUTE(SUBSTITUTE(PROPERTIES[[#This Row],[PURCHASECOST_VALUE]], "PURCHASECOST_", ""), "_VALUE", "")</f>
        <v>COACH</v>
      </c>
      <c r="AI780" s="7" t="str" cm="1">
        <f t="array" ref="AI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0" s="43" t="b">
        <v>0</v>
      </c>
      <c r="AK780" s="8" t="b">
        <v>0</v>
      </c>
      <c r="BB780"/>
      <c r="BC780"/>
      <c r="BD780"/>
    </row>
    <row r="781" spans="1:56">
      <c r="A781" s="2" t="s">
        <v>153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5" t="str">
        <f>_xlfn.XLOOKUP(PROPERTIES[[#This Row],[VEHIDCODE]],CONTROL[VEHIDCODE],CONTROL[ENGLISH])</f>
        <v>High Speed Mail Coach</v>
      </c>
      <c r="G781" s="45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8">
        <v>50</v>
      </c>
      <c r="R781">
        <v>0</v>
      </c>
      <c r="S781">
        <v>250</v>
      </c>
      <c r="T781" s="25">
        <v>0</v>
      </c>
      <c r="U781" s="24">
        <f>IFERROR(PROPERTIES[[#This Row],[TE_STARTING_KN]]/(PROPERTIES[[#This Row],[WEIGHT]]*9.81),0)</f>
        <v>0</v>
      </c>
      <c r="V781" s="24">
        <v>0.3</v>
      </c>
      <c r="W781" s="21">
        <f>ROUND(IF(IFERROR(PROPERTIES[[#This Row],[TE_COEFFICIENT_CALC]],0)=0,PROPERTIES[[#This Row],[TE_COEFFICIENT_MANUAL]],PROPERTIES[[#This Row],[TE_COEFFICIENT_CALC]]),3)</f>
        <v>0.3</v>
      </c>
      <c r="X781" s="9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1">
        <v>0</v>
      </c>
      <c r="Z781" s="7">
        <v>0</v>
      </c>
      <c r="AA781" t="s">
        <v>250</v>
      </c>
      <c r="AB781" t="s">
        <v>238</v>
      </c>
      <c r="AC781" t="s">
        <v>238</v>
      </c>
      <c r="AD781" s="2" t="s">
        <v>238</v>
      </c>
      <c r="AE781" s="2" t="s">
        <v>253</v>
      </c>
      <c r="AF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1" s="2" t="str">
        <f>SUBSTITUTE(SUBSTITUTE(PROPERTIES[[#This Row],[PURCHASECOST_VALUE]], "PURCHASECOST_", ""), "_VALUE", "")</f>
        <v>COACH</v>
      </c>
      <c r="AI781" s="7" t="str" cm="1">
        <f t="array" ref="AI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1" s="43" t="b">
        <v>0</v>
      </c>
      <c r="AK781" s="8" t="b">
        <v>0</v>
      </c>
      <c r="BB781"/>
      <c r="BC781"/>
      <c r="BD781"/>
    </row>
    <row r="782" spans="1:56">
      <c r="A782" s="2" t="s">
        <v>154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5" t="str">
        <f>_xlfn.XLOOKUP(PROPERTIES[[#This Row],[VEHIDCODE]],CONTROL[VEHIDCODE],CONTROL[ENGLISH])</f>
        <v>Talgo Pendular</v>
      </c>
      <c r="G782" s="45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8">
        <v>15</v>
      </c>
      <c r="R782">
        <v>0</v>
      </c>
      <c r="S782">
        <v>200</v>
      </c>
      <c r="T782" s="25">
        <v>0</v>
      </c>
      <c r="U782" s="24">
        <f>IFERROR(PROPERTIES[[#This Row],[TE_STARTING_KN]]/(PROPERTIES[[#This Row],[WEIGHT]]*9.81),0)</f>
        <v>0</v>
      </c>
      <c r="V782" s="24">
        <v>0.3</v>
      </c>
      <c r="W782" s="21">
        <f>ROUND(IF(IFERROR(PROPERTIES[[#This Row],[TE_COEFFICIENT_CALC]],0)=0,PROPERTIES[[#This Row],[TE_COEFFICIENT_MANUAL]],PROPERTIES[[#This Row],[TE_COEFFICIENT_CALC]]),3)</f>
        <v>0.3</v>
      </c>
      <c r="X782" s="9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1">
        <v>0</v>
      </c>
      <c r="Z782" s="7">
        <v>0</v>
      </c>
      <c r="AA782" t="s">
        <v>250</v>
      </c>
      <c r="AB782" t="s">
        <v>238</v>
      </c>
      <c r="AC782" t="s">
        <v>238</v>
      </c>
      <c r="AD782" s="2" t="s">
        <v>238</v>
      </c>
      <c r="AE782" s="2" t="s">
        <v>253</v>
      </c>
      <c r="AF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2" s="2" t="str">
        <f>SUBSTITUTE(SUBSTITUTE(PROPERTIES[[#This Row],[PURCHASECOST_VALUE]], "PURCHASECOST_", ""), "_VALUE", "")</f>
        <v>COACH</v>
      </c>
      <c r="AI782" s="7" t="str" cm="1">
        <f t="array" ref="AI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2" s="43" t="b">
        <v>0</v>
      </c>
      <c r="AK782" s="8" t="b">
        <v>0</v>
      </c>
      <c r="BB782"/>
      <c r="BC782"/>
      <c r="BD782"/>
    </row>
    <row r="783" spans="1:56">
      <c r="A783" s="2" t="s">
        <v>155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5" t="str">
        <f>_xlfn.XLOOKUP(PROPERTIES[[#This Row],[VEHIDCODE]],CONTROL[VEHIDCODE],CONTROL[ENGLISH])</f>
        <v>Talgo Pendular Mail</v>
      </c>
      <c r="G783" s="45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8">
        <v>18</v>
      </c>
      <c r="R783">
        <v>0</v>
      </c>
      <c r="S783">
        <v>200</v>
      </c>
      <c r="T783" s="25">
        <v>0</v>
      </c>
      <c r="U783" s="24">
        <f>IFERROR(PROPERTIES[[#This Row],[TE_STARTING_KN]]/(PROPERTIES[[#This Row],[WEIGHT]]*9.81),0)</f>
        <v>0</v>
      </c>
      <c r="V783" s="24">
        <v>0.3</v>
      </c>
      <c r="W783" s="21">
        <f>ROUND(IF(IFERROR(PROPERTIES[[#This Row],[TE_COEFFICIENT_CALC]],0)=0,PROPERTIES[[#This Row],[TE_COEFFICIENT_MANUAL]],PROPERTIES[[#This Row],[TE_COEFFICIENT_CALC]]),3)</f>
        <v>0.3</v>
      </c>
      <c r="X783" s="9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1">
        <v>0</v>
      </c>
      <c r="Z783" s="7">
        <v>0</v>
      </c>
      <c r="AA783" t="s">
        <v>250</v>
      </c>
      <c r="AB783" t="s">
        <v>238</v>
      </c>
      <c r="AC783" t="s">
        <v>238</v>
      </c>
      <c r="AD783" s="2" t="s">
        <v>238</v>
      </c>
      <c r="AE783" s="2" t="s">
        <v>253</v>
      </c>
      <c r="AF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3" s="2" t="str">
        <f>SUBSTITUTE(SUBSTITUTE(PROPERTIES[[#This Row],[PURCHASECOST_VALUE]], "PURCHASECOST_", ""), "_VALUE", "")</f>
        <v>COACH</v>
      </c>
      <c r="AI783" s="7" t="str" cm="1">
        <f t="array" ref="AI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3" s="43" t="b">
        <v>0</v>
      </c>
      <c r="AK783" s="8" t="b">
        <v>0</v>
      </c>
      <c r="BB783"/>
      <c r="BC783"/>
      <c r="BD783"/>
    </row>
    <row r="784" spans="1:56">
      <c r="A784" s="2" t="s">
        <v>156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5" t="str">
        <f>_xlfn.XLOOKUP(PROPERTIES[[#This Row],[VEHIDCODE]],CONTROL[VEHIDCODE],CONTROL[ENGLISH])</f>
        <v>Grand Voyager Coach</v>
      </c>
      <c r="G784" s="45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8">
        <v>30</v>
      </c>
      <c r="R784">
        <v>0</v>
      </c>
      <c r="S784">
        <v>350</v>
      </c>
      <c r="T784" s="25">
        <v>0</v>
      </c>
      <c r="U784" s="24">
        <f>IFERROR(PROPERTIES[[#This Row],[TE_STARTING_KN]]/(PROPERTIES[[#This Row],[WEIGHT]]*9.81),0)</f>
        <v>0</v>
      </c>
      <c r="V784" s="24">
        <v>0.3</v>
      </c>
      <c r="W784" s="21">
        <f>ROUND(IF(IFERROR(PROPERTIES[[#This Row],[TE_COEFFICIENT_CALC]],0)=0,PROPERTIES[[#This Row],[TE_COEFFICIENT_MANUAL]],PROPERTIES[[#This Row],[TE_COEFFICIENT_CALC]]),3)</f>
        <v>0.3</v>
      </c>
      <c r="X784" s="9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1">
        <v>0</v>
      </c>
      <c r="Z784" s="7">
        <v>0</v>
      </c>
      <c r="AA784" t="s">
        <v>250</v>
      </c>
      <c r="AB784" t="s">
        <v>238</v>
      </c>
      <c r="AC784" t="s">
        <v>238</v>
      </c>
      <c r="AD784" s="2" t="s">
        <v>238</v>
      </c>
      <c r="AE784" s="2" t="s">
        <v>253</v>
      </c>
      <c r="AF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4" s="2" t="str">
        <f>SUBSTITUTE(SUBSTITUTE(PROPERTIES[[#This Row],[PURCHASECOST_VALUE]], "PURCHASECOST_", ""), "_VALUE", "")</f>
        <v>COACH</v>
      </c>
      <c r="AI784" s="7" t="str" cm="1">
        <f t="array" ref="AI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4" s="43" t="b">
        <v>0</v>
      </c>
      <c r="AK784" s="8" t="b">
        <v>0</v>
      </c>
      <c r="BB784"/>
      <c r="BC784"/>
      <c r="BD784"/>
    </row>
    <row r="785" spans="1:56">
      <c r="A785" s="2" t="s">
        <v>157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5" t="str">
        <f>_xlfn.XLOOKUP(PROPERTIES[[#This Row],[VEHIDCODE]],CONTROL[VEHIDCODE],CONTROL[ENGLISH])</f>
        <v>Grand Regio Coach</v>
      </c>
      <c r="G785" s="45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8">
        <v>36</v>
      </c>
      <c r="R785">
        <v>0</v>
      </c>
      <c r="S785">
        <v>230</v>
      </c>
      <c r="T785" s="25">
        <v>0</v>
      </c>
      <c r="U785" s="24">
        <f>IFERROR(PROPERTIES[[#This Row],[TE_STARTING_KN]]/(PROPERTIES[[#This Row],[WEIGHT]]*9.81),0)</f>
        <v>0</v>
      </c>
      <c r="V785" s="24">
        <v>0.3</v>
      </c>
      <c r="W785" s="21">
        <f>ROUND(IF(IFERROR(PROPERTIES[[#This Row],[TE_COEFFICIENT_CALC]],0)=0,PROPERTIES[[#This Row],[TE_COEFFICIENT_MANUAL]],PROPERTIES[[#This Row],[TE_COEFFICIENT_CALC]]),3)</f>
        <v>0.3</v>
      </c>
      <c r="X785" s="9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1">
        <v>0</v>
      </c>
      <c r="Z785" s="7">
        <v>0</v>
      </c>
      <c r="AA785" t="s">
        <v>250</v>
      </c>
      <c r="AB785" t="s">
        <v>238</v>
      </c>
      <c r="AC785" t="s">
        <v>238</v>
      </c>
      <c r="AD785" s="2" t="s">
        <v>238</v>
      </c>
      <c r="AE785" s="2" t="s">
        <v>253</v>
      </c>
      <c r="AF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5" s="2" t="str">
        <f>SUBSTITUTE(SUBSTITUTE(PROPERTIES[[#This Row],[PURCHASECOST_VALUE]], "PURCHASECOST_", ""), "_VALUE", "")</f>
        <v>COACH</v>
      </c>
      <c r="AI785" s="7" t="str" cm="1">
        <f t="array" ref="AI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5" s="43" t="b">
        <v>0</v>
      </c>
      <c r="AK785" s="8" t="b">
        <v>0</v>
      </c>
      <c r="BB785"/>
      <c r="BC785"/>
      <c r="BD785"/>
    </row>
    <row r="786" spans="1:56">
      <c r="A786" s="2" t="s">
        <v>158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5" t="str">
        <f>_xlfn.XLOOKUP(PROPERTIES[[#This Row],[VEHIDCODE]],CONTROL[VEHIDCODE],CONTROL[ENGLISH])</f>
        <v>Metropolis Coach</v>
      </c>
      <c r="G786" s="45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8">
        <v>33</v>
      </c>
      <c r="R786">
        <v>0</v>
      </c>
      <c r="S786">
        <v>140</v>
      </c>
      <c r="T786" s="25">
        <v>0</v>
      </c>
      <c r="U786" s="24">
        <f>IFERROR(PROPERTIES[[#This Row],[TE_STARTING_KN]]/(PROPERTIES[[#This Row],[WEIGHT]]*9.81),0)</f>
        <v>0</v>
      </c>
      <c r="V786" s="24">
        <v>0.3</v>
      </c>
      <c r="W786" s="21">
        <f>ROUND(IF(IFERROR(PROPERTIES[[#This Row],[TE_COEFFICIENT_CALC]],0)=0,PROPERTIES[[#This Row],[TE_COEFFICIENT_MANUAL]],PROPERTIES[[#This Row],[TE_COEFFICIENT_CALC]]),3)</f>
        <v>0.3</v>
      </c>
      <c r="X786" s="9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1">
        <v>0</v>
      </c>
      <c r="Z786" s="7">
        <v>0</v>
      </c>
      <c r="AA786" t="s">
        <v>250</v>
      </c>
      <c r="AB786" t="s">
        <v>238</v>
      </c>
      <c r="AC786" t="s">
        <v>238</v>
      </c>
      <c r="AD786" s="2" t="s">
        <v>238</v>
      </c>
      <c r="AE786" s="2" t="s">
        <v>253</v>
      </c>
      <c r="AF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6" s="2" t="str">
        <f>SUBSTITUTE(SUBSTITUTE(PROPERTIES[[#This Row],[PURCHASECOST_VALUE]], "PURCHASECOST_", ""), "_VALUE", "")</f>
        <v>COACH</v>
      </c>
      <c r="AI786" s="7" t="str" cm="1">
        <f t="array" ref="AI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86" s="43" t="b">
        <v>0</v>
      </c>
      <c r="AK786" s="8" t="b">
        <v>0</v>
      </c>
      <c r="BB786"/>
      <c r="BC786"/>
      <c r="BD786"/>
    </row>
    <row r="787" spans="1:56">
      <c r="A787" s="2" t="s">
        <v>159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5" t="str">
        <f>_xlfn.XLOOKUP(PROPERTIES[[#This Row],[VEHIDCODE]],CONTROL[VEHIDCODE],CONTROL[ENGLISH])</f>
        <v>Speedmail Coach</v>
      </c>
      <c r="G787" s="45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8">
        <v>32</v>
      </c>
      <c r="R787">
        <v>0</v>
      </c>
      <c r="S787">
        <v>350</v>
      </c>
      <c r="T787" s="25">
        <v>0</v>
      </c>
      <c r="U787" s="24">
        <f>IFERROR(PROPERTIES[[#This Row],[TE_STARTING_KN]]/(PROPERTIES[[#This Row],[WEIGHT]]*9.81),0)</f>
        <v>0</v>
      </c>
      <c r="V787" s="24">
        <v>0.3</v>
      </c>
      <c r="W787" s="21">
        <f>ROUND(IF(IFERROR(PROPERTIES[[#This Row],[TE_COEFFICIENT_CALC]],0)=0,PROPERTIES[[#This Row],[TE_COEFFICIENT_MANUAL]],PROPERTIES[[#This Row],[TE_COEFFICIENT_CALC]]),3)</f>
        <v>0.3</v>
      </c>
      <c r="X787" s="9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1">
        <v>0</v>
      </c>
      <c r="Z787" s="7">
        <v>0</v>
      </c>
      <c r="AA787" t="s">
        <v>250</v>
      </c>
      <c r="AB787" t="s">
        <v>238</v>
      </c>
      <c r="AC787" t="s">
        <v>238</v>
      </c>
      <c r="AD787" s="2" t="s">
        <v>238</v>
      </c>
      <c r="AE787" s="2" t="s">
        <v>253</v>
      </c>
      <c r="AF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7" s="2" t="str">
        <f>SUBSTITUTE(SUBSTITUTE(PROPERTIES[[#This Row],[PURCHASECOST_VALUE]], "PURCHASECOST_", ""), "_VALUE", "")</f>
        <v>COACH</v>
      </c>
      <c r="AI787" s="7" t="str" cm="1">
        <f t="array" ref="AI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7" s="43" t="b">
        <v>0</v>
      </c>
      <c r="AK787" s="8" t="b">
        <v>0</v>
      </c>
      <c r="BB787"/>
      <c r="BC787"/>
      <c r="BD787"/>
    </row>
    <row r="788" spans="1:56">
      <c r="A788" s="2" t="s">
        <v>160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5" t="str">
        <f>_xlfn.XLOOKUP(PROPERTIES[[#This Row],[VEHIDCODE]],CONTROL[VEHIDCODE],CONTROL[ENGLISH])</f>
        <v>Super Regio Coach</v>
      </c>
      <c r="G788" s="45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8">
        <v>44</v>
      </c>
      <c r="R788">
        <v>0</v>
      </c>
      <c r="S788">
        <v>200</v>
      </c>
      <c r="T788" s="25">
        <v>0</v>
      </c>
      <c r="U788" s="24">
        <f>IFERROR(PROPERTIES[[#This Row],[TE_STARTING_KN]]/(PROPERTIES[[#This Row],[WEIGHT]]*9.81),0)</f>
        <v>0</v>
      </c>
      <c r="V788" s="24">
        <v>0.3</v>
      </c>
      <c r="W788" s="21">
        <f>ROUND(IF(IFERROR(PROPERTIES[[#This Row],[TE_COEFFICIENT_CALC]],0)=0,PROPERTIES[[#This Row],[TE_COEFFICIENT_MANUAL]],PROPERTIES[[#This Row],[TE_COEFFICIENT_CALC]]),3)</f>
        <v>0.3</v>
      </c>
      <c r="X788" s="9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1">
        <v>0</v>
      </c>
      <c r="Z788" s="7">
        <v>0</v>
      </c>
      <c r="AA788" t="s">
        <v>250</v>
      </c>
      <c r="AB788" t="s">
        <v>238</v>
      </c>
      <c r="AC788" t="s">
        <v>238</v>
      </c>
      <c r="AD788" s="2" t="s">
        <v>238</v>
      </c>
      <c r="AE788" s="2" t="s">
        <v>253</v>
      </c>
      <c r="AF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8" s="2" t="str">
        <f>SUBSTITUTE(SUBSTITUTE(PROPERTIES[[#This Row],[PURCHASECOST_VALUE]], "PURCHASECOST_", ""), "_VALUE", "")</f>
        <v>COACH</v>
      </c>
      <c r="AI788" s="7" t="str" cm="1">
        <f t="array" ref="AI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8" s="43" t="b">
        <v>0</v>
      </c>
      <c r="AK788" s="8" t="b">
        <v>0</v>
      </c>
      <c r="BB788"/>
      <c r="BC788"/>
      <c r="BD788"/>
    </row>
    <row r="789" spans="1:56">
      <c r="A789" s="2" t="s">
        <v>161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5" t="str">
        <f>_xlfn.XLOOKUP(PROPERTIES[[#This Row],[VEHIDCODE]],CONTROL[VEHIDCODE],CONTROL[ENGLISH])</f>
        <v>Super Voyager Coach</v>
      </c>
      <c r="G789" s="45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8">
        <v>42</v>
      </c>
      <c r="R789">
        <v>0</v>
      </c>
      <c r="S789">
        <v>350</v>
      </c>
      <c r="T789" s="25">
        <v>0</v>
      </c>
      <c r="U789" s="24">
        <f>IFERROR(PROPERTIES[[#This Row],[TE_STARTING_KN]]/(PROPERTIES[[#This Row],[WEIGHT]]*9.81),0)</f>
        <v>0</v>
      </c>
      <c r="V789" s="24">
        <v>0.3</v>
      </c>
      <c r="W789" s="21">
        <f>ROUND(IF(IFERROR(PROPERTIES[[#This Row],[TE_COEFFICIENT_CALC]],0)=0,PROPERTIES[[#This Row],[TE_COEFFICIENT_MANUAL]],PROPERTIES[[#This Row],[TE_COEFFICIENT_CALC]]),3)</f>
        <v>0.3</v>
      </c>
      <c r="X789" s="9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1">
        <v>0</v>
      </c>
      <c r="Z789" s="7">
        <v>0</v>
      </c>
      <c r="AA789" t="s">
        <v>250</v>
      </c>
      <c r="AB789" t="s">
        <v>238</v>
      </c>
      <c r="AC789" t="s">
        <v>238</v>
      </c>
      <c r="AD789" s="2" t="s">
        <v>238</v>
      </c>
      <c r="AE789" s="2" t="s">
        <v>253</v>
      </c>
      <c r="AF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9" s="2" t="str">
        <f>SUBSTITUTE(SUBSTITUTE(PROPERTIES[[#This Row],[PURCHASECOST_VALUE]], "PURCHASECOST_", ""), "_VALUE", "")</f>
        <v>COACH</v>
      </c>
      <c r="AI789" s="7" t="str" cm="1">
        <f t="array" ref="AI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9" s="43" t="b">
        <v>0</v>
      </c>
      <c r="AK789" s="8" t="b">
        <v>0</v>
      </c>
      <c r="BB789"/>
      <c r="BC789"/>
      <c r="BD789"/>
    </row>
    <row r="790" spans="1:56">
      <c r="A790" s="2" t="s">
        <v>3346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5" t="str">
        <f>_xlfn.XLOOKUP(PROPERTIES[[#This Row],[VEHIDCODE]],CONTROL[VEHIDCODE],CONTROL[ENGLISH])</f>
        <v>Alsthom AD30B</v>
      </c>
      <c r="F790" t="s">
        <v>1068</v>
      </c>
      <c r="G790" s="45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8">
        <v>110</v>
      </c>
      <c r="R790">
        <v>3000</v>
      </c>
      <c r="S790">
        <v>80</v>
      </c>
      <c r="T790" s="25">
        <v>320</v>
      </c>
      <c r="U790" s="24">
        <f>IFERROR(PROPERTIES[[#This Row],[TE_STARTING_KN]]/(PROPERTIES[[#This Row],[WEIGHT]]*9.81),0)</f>
        <v>0.2965434158094708</v>
      </c>
      <c r="V790" s="24">
        <v>0</v>
      </c>
      <c r="W790" s="21">
        <f>ROUND(IF(IFERROR(PROPERTIES[[#This Row],[TE_COEFFICIENT_CALC]],0)=0,PROPERTIES[[#This Row],[TE_COEFFICIENT_MANUAL]],PROPERTIES[[#This Row],[TE_COEFFICIENT_CALC]]),3)</f>
        <v>0.29699999999999999</v>
      </c>
      <c r="X790" s="9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1">
        <v>0</v>
      </c>
      <c r="Z790" s="7">
        <v>0</v>
      </c>
      <c r="AA790" t="s">
        <v>242</v>
      </c>
      <c r="AB790" t="s">
        <v>238</v>
      </c>
      <c r="AC790" t="s">
        <v>238</v>
      </c>
      <c r="AD790" s="2" t="s">
        <v>238</v>
      </c>
      <c r="AE790" s="2" t="s">
        <v>253</v>
      </c>
      <c r="AF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0" s="2" t="str">
        <f>SUBSTITUTE(SUBSTITUTE(PROPERTIES[[#This Row],[PURCHASECOST_VALUE]], "PURCHASECOST_", ""), "_VALUE", "")</f>
        <v>DIESELENGINE</v>
      </c>
      <c r="AI790" s="7" t="str" cm="1">
        <f t="array" ref="AI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0" s="43" t="b">
        <v>0</v>
      </c>
      <c r="AK790" s="8" t="b">
        <v>0</v>
      </c>
      <c r="AZ790" s="7"/>
      <c r="BA790" s="8"/>
      <c r="BB790" s="9"/>
      <c r="BC790"/>
      <c r="BD790"/>
    </row>
    <row r="791" spans="1:56">
      <c r="A791" s="2" t="s">
        <v>3347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5" t="str">
        <f>_xlfn.XLOOKUP(PROPERTIES[[#This Row],[VEHIDCODE]],CONTROL[VEHIDCODE],CONTROL[ENGLISH])</f>
        <v>Porter 2-8-2 Class 200 'Katanga Mikado'</v>
      </c>
      <c r="F791" t="s">
        <v>606</v>
      </c>
      <c r="G791" s="45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8">
        <v>67</v>
      </c>
      <c r="R791">
        <v>950</v>
      </c>
      <c r="S791">
        <v>55</v>
      </c>
      <c r="T791" s="25">
        <v>143.31725222</v>
      </c>
      <c r="U791" s="24">
        <f>IFERROR(PROPERTIES[[#This Row],[TE_STARTING_KN]]/(PROPERTIES[[#This Row],[WEIGHT]]*9.81),0)</f>
        <v>0.21804928297351164</v>
      </c>
      <c r="V791" s="24">
        <v>0</v>
      </c>
      <c r="W791" s="21">
        <f>ROUND(IF(IFERROR(PROPERTIES[[#This Row],[TE_COEFFICIENT_CALC]],0)=0,PROPERTIES[[#This Row],[TE_COEFFICIENT_MANUAL]],PROPERTIES[[#This Row],[TE_COEFFICIENT_CALC]]),3)</f>
        <v>0.218</v>
      </c>
      <c r="X791" s="9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1">
        <v>0</v>
      </c>
      <c r="Z791" s="7">
        <v>5</v>
      </c>
      <c r="AA791" t="s">
        <v>242</v>
      </c>
      <c r="AB791" t="s">
        <v>238</v>
      </c>
      <c r="AC791" t="s">
        <v>238</v>
      </c>
      <c r="AD791" s="2" t="s">
        <v>238</v>
      </c>
      <c r="AE791" s="2" t="s">
        <v>253</v>
      </c>
      <c r="AF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1" s="2" t="str">
        <f>SUBSTITUTE(SUBSTITUTE(PROPERTIES[[#This Row],[PURCHASECOST_VALUE]], "PURCHASECOST_", ""), "_VALUE", "")</f>
        <v>STEAMENGINE</v>
      </c>
      <c r="AI791" s="7" t="str" cm="1">
        <f t="array" ref="AI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1" s="43" t="b">
        <v>0</v>
      </c>
      <c r="AK791" s="8" t="b">
        <v>0</v>
      </c>
      <c r="AZ791" s="7"/>
      <c r="BA791" s="8"/>
      <c r="BB791" s="9"/>
      <c r="BC791"/>
      <c r="BD791"/>
    </row>
    <row r="792" spans="1:56">
      <c r="A792" s="2" t="s">
        <v>3348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5" t="str">
        <f>_xlfn.XLOOKUP(PROPERTIES[[#This Row],[VEHIDCODE]],CONTROL[VEHIDCODE],CONTROL[ENGLISH])</f>
        <v>Kawasaki/Nippon Sharyo/Toshiba M250</v>
      </c>
      <c r="F792" t="s">
        <v>679</v>
      </c>
      <c r="G792" s="45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8">
        <f>51/2</f>
        <v>25.5</v>
      </c>
      <c r="R792">
        <v>2360</v>
      </c>
      <c r="S792">
        <v>140</v>
      </c>
      <c r="T792" s="25">
        <f>98/2</f>
        <v>49</v>
      </c>
      <c r="U792" s="24">
        <f>IFERROR(PROPERTIES[[#This Row],[TE_STARTING_KN]]/(PROPERTIES[[#This Row],[WEIGHT]]*9.81),0)</f>
        <v>0.19587855529571666</v>
      </c>
      <c r="V792" s="24">
        <v>0</v>
      </c>
      <c r="W792" s="21">
        <f>ROUND(IF(IFERROR(PROPERTIES[[#This Row],[TE_COEFFICIENT_CALC]],0)=0,PROPERTIES[[#This Row],[TE_COEFFICIENT_MANUAL]],PROPERTIES[[#This Row],[TE_COEFFICIENT_CALC]]),3)</f>
        <v>0.19600000000000001</v>
      </c>
      <c r="X792" s="9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1">
        <v>60</v>
      </c>
      <c r="Z792" s="7">
        <v>8</v>
      </c>
      <c r="AA792" t="s">
        <v>247</v>
      </c>
      <c r="AB792" t="s">
        <v>238</v>
      </c>
      <c r="AC792" t="s">
        <v>238</v>
      </c>
      <c r="AD792" s="2" t="s">
        <v>238</v>
      </c>
      <c r="AE792" s="8" t="s">
        <v>253</v>
      </c>
      <c r="AF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792" s="2" t="str">
        <f>SUBSTITUTE(SUBSTITUTE(PROPERTIES[[#This Row],[PURCHASECOST_VALUE]], "PURCHASECOST_", ""), "_VALUE", "")</f>
        <v>EMU</v>
      </c>
      <c r="AI792" s="7" t="str" cm="1">
        <f t="array" ref="AI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2" s="9" t="b">
        <v>0</v>
      </c>
      <c r="AK792" s="8" t="b">
        <v>0</v>
      </c>
      <c r="BA792" s="7"/>
      <c r="BB792" s="8"/>
      <c r="BC792" s="9"/>
      <c r="BD792"/>
    </row>
    <row r="793" spans="1:56">
      <c r="A793" s="2" t="s">
        <v>3349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5" t="str">
        <f>_xlfn.XLOOKUP(PROPERTIES[[#This Row],[VEHIDCODE]],CONTROL[VEHIDCODE],CONTROL[ENGLISH])</f>
        <v>Esslingen/MAN/Hohenzollern 'Thomas'</v>
      </c>
      <c r="F793" t="s">
        <v>623</v>
      </c>
      <c r="G793" s="45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8">
        <v>29</v>
      </c>
      <c r="R793">
        <v>99</v>
      </c>
      <c r="S793">
        <f>INT(25*1.62)</f>
        <v>40</v>
      </c>
      <c r="T793" s="25">
        <v>13.4</v>
      </c>
      <c r="U793" s="24">
        <f>IFERROR(PROPERTIES[[#This Row],[TE_STARTING_KN]]/(PROPERTIES[[#This Row],[WEIGHT]]*9.81),0)</f>
        <v>4.7101831347323278E-2</v>
      </c>
      <c r="V793" s="24">
        <v>0</v>
      </c>
      <c r="W793" s="21">
        <f>ROUND(IF(IFERROR(PROPERTIES[[#This Row],[TE_COEFFICIENT_CALC]],0)=0,PROPERTIES[[#This Row],[TE_COEFFICIENT_MANUAL]],PROPERTIES[[#This Row],[TE_COEFFICIENT_CALC]]),3)</f>
        <v>4.7E-2</v>
      </c>
      <c r="X793" s="9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1">
        <v>0</v>
      </c>
      <c r="Z793" s="7">
        <v>0</v>
      </c>
      <c r="AA793" t="s">
        <v>2015</v>
      </c>
      <c r="AB793" t="s">
        <v>238</v>
      </c>
      <c r="AC793" t="s">
        <v>238</v>
      </c>
      <c r="AD793" s="2" t="s">
        <v>238</v>
      </c>
      <c r="AE793" s="2" t="s">
        <v>253</v>
      </c>
      <c r="AF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3" s="2" t="str">
        <f>SUBSTITUTE(SUBSTITUTE(PROPERTIES[[#This Row],[PURCHASECOST_VALUE]], "PURCHASECOST_", ""), "_VALUE", "")</f>
        <v>STEAMRAILBUS</v>
      </c>
      <c r="AI793" s="7" t="str" cm="1">
        <f t="array" ref="AI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3" s="43" t="b">
        <v>0</v>
      </c>
      <c r="AK793" s="8" t="b">
        <v>0</v>
      </c>
      <c r="BA793" s="7"/>
      <c r="BB793" s="8"/>
      <c r="BC793" s="9"/>
      <c r="BD793"/>
    </row>
    <row r="794" spans="1:56">
      <c r="A794" s="2" t="s">
        <v>3350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5" t="str">
        <f>_xlfn.XLOOKUP(PROPERTIES[[#This Row],[VEHIDCODE]],CONTROL[VEHIDCODE],CONTROL[ENGLISH])</f>
        <v>Komarek NOLB 30-33</v>
      </c>
      <c r="F794" t="s">
        <v>579</v>
      </c>
      <c r="G794" s="45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8">
        <v>24</v>
      </c>
      <c r="R794">
        <v>150</v>
      </c>
      <c r="S794">
        <v>40</v>
      </c>
      <c r="T794" s="25">
        <v>23.3576116216</v>
      </c>
      <c r="U794" s="24">
        <f>IFERROR(PROPERTIES[[#This Row],[TE_STARTING_KN]]/(PROPERTIES[[#This Row],[WEIGHT]]*9.81),0)</f>
        <v>9.920834022086307E-2</v>
      </c>
      <c r="V794" s="24">
        <v>0</v>
      </c>
      <c r="W794" s="21">
        <f>ROUND(IF(IFERROR(PROPERTIES[[#This Row],[TE_COEFFICIENT_CALC]],0)=0,PROPERTIES[[#This Row],[TE_COEFFICIENT_MANUAL]],PROPERTIES[[#This Row],[TE_COEFFICIENT_CALC]]),3)</f>
        <v>9.9000000000000005E-2</v>
      </c>
      <c r="X794" s="9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1">
        <v>0</v>
      </c>
      <c r="Z794" s="7">
        <v>0</v>
      </c>
      <c r="AA794" t="s">
        <v>239</v>
      </c>
      <c r="AB794" t="s">
        <v>238</v>
      </c>
      <c r="AC794" t="s">
        <v>238</v>
      </c>
      <c r="AD794" s="2" t="s">
        <v>238</v>
      </c>
      <c r="AE794" s="8" t="s">
        <v>253</v>
      </c>
      <c r="AF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4" s="2" t="str">
        <f>SUBSTITUTE(SUBSTITUTE(PROPERTIES[[#This Row],[PURCHASECOST_VALUE]], "PURCHASECOST_", ""), "_VALUE", "")</f>
        <v>STEAMRAILBUS</v>
      </c>
      <c r="AI794" s="7" t="str" cm="1">
        <f t="array" ref="AI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4" s="9" t="b">
        <v>0</v>
      </c>
      <c r="AK794" s="8" t="b">
        <v>0</v>
      </c>
      <c r="BA794" s="7"/>
      <c r="BB794" s="8"/>
      <c r="BC794" s="9"/>
      <c r="BD794"/>
    </row>
    <row r="795" spans="1:56">
      <c r="A795" t="s">
        <v>3351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5" t="str">
        <f>_xlfn.XLOOKUP(PROPERTIES[[#This Row],[VEHIDCODE]],CONTROL[VEHIDCODE],CONTROL[ENGLISH])</f>
        <v>Henschel 4-4-2 19906</v>
      </c>
      <c r="F795" t="s">
        <v>724</v>
      </c>
      <c r="G795" s="45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8">
        <v>101</v>
      </c>
      <c r="R795">
        <v>1207</v>
      </c>
      <c r="S795">
        <v>96</v>
      </c>
      <c r="T795" s="25">
        <v>103</v>
      </c>
      <c r="U795" s="24">
        <f>IFERROR(PROPERTIES[[#This Row],[TE_STARTING_KN]]/(PROPERTIES[[#This Row],[WEIGHT]]*9.81),0)</f>
        <v>0.10395534966340671</v>
      </c>
      <c r="V795" s="24">
        <v>0</v>
      </c>
      <c r="W795" s="21">
        <f>ROUND(IF(IFERROR(PROPERTIES[[#This Row],[TE_COEFFICIENT_CALC]],0)=0,PROPERTIES[[#This Row],[TE_COEFFICIENT_MANUAL]],PROPERTIES[[#This Row],[TE_COEFFICIENT_CALC]]),3)</f>
        <v>0.104</v>
      </c>
      <c r="X795" s="9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1">
        <v>0</v>
      </c>
      <c r="Z795" s="7">
        <v>5</v>
      </c>
      <c r="AA795" t="s">
        <v>242</v>
      </c>
      <c r="AB795" t="s">
        <v>238</v>
      </c>
      <c r="AC795" t="s">
        <v>238</v>
      </c>
      <c r="AD795" s="2" t="s">
        <v>238</v>
      </c>
      <c r="AE795" s="2" t="s">
        <v>253</v>
      </c>
      <c r="AF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5" s="2" t="str">
        <f>SUBSTITUTE(SUBSTITUTE(PROPERTIES[[#This Row],[PURCHASECOST_VALUE]], "PURCHASECOST_", ""), "_VALUE", "")</f>
        <v>STEAMENGINE</v>
      </c>
      <c r="AI795" s="7" t="str" cm="1">
        <f t="array" ref="AI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5" s="43" t="b">
        <v>0</v>
      </c>
      <c r="AK795" s="8" t="b">
        <v>0</v>
      </c>
      <c r="BA795" s="7"/>
      <c r="BB795" s="8"/>
      <c r="BC795" s="9"/>
      <c r="BD795"/>
    </row>
    <row r="796" spans="1:56">
      <c r="A796" t="s">
        <v>3528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5" t="str">
        <f>_xlfn.XLOOKUP(PROPERTIES[[#This Row],[VEHIDCODE]],CONTROL[VEHIDCODE],CONTROL[ENGLISH])</f>
        <v>Haine-Saint-Pierre 2-6-0+0-6-2T 'Golwe'</v>
      </c>
      <c r="F796" t="s">
        <v>610</v>
      </c>
      <c r="G796" s="45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8">
        <v>96</v>
      </c>
      <c r="R796">
        <v>939</v>
      </c>
      <c r="S796">
        <v>40</v>
      </c>
      <c r="T796" s="25">
        <v>166</v>
      </c>
      <c r="U796" s="25">
        <f>IFERROR(PROPERTIES[[#This Row],[TE_STARTING_KN]]/(PROPERTIES[[#This Row],[WEIGHT]]*9.81),0)</f>
        <v>0.17626571525654094</v>
      </c>
      <c r="V796" s="25">
        <v>0</v>
      </c>
      <c r="W796" s="21">
        <f>ROUND(IF(IFERROR(PROPERTIES[[#This Row],[TE_COEFFICIENT_CALC]],0)=0,PROPERTIES[[#This Row],[TE_COEFFICIENT_MANUAL]],PROPERTIES[[#This Row],[TE_COEFFICIENT_CALC]]),3)</f>
        <v>0.17599999999999999</v>
      </c>
      <c r="X796" s="9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1">
        <v>0</v>
      </c>
      <c r="Z796" s="7">
        <v>4</v>
      </c>
      <c r="AA796" t="s">
        <v>242</v>
      </c>
      <c r="AB796" t="s">
        <v>238</v>
      </c>
      <c r="AC796" t="s">
        <v>238</v>
      </c>
      <c r="AD796" s="2" t="s">
        <v>238</v>
      </c>
      <c r="AE796" s="2" t="s">
        <v>253</v>
      </c>
      <c r="AF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6" s="2" t="str">
        <f>SUBSTITUTE(SUBSTITUTE(PROPERTIES[[#This Row],[PURCHASECOST_VALUE]], "PURCHASECOST_", ""), "_VALUE", "")</f>
        <v>STEAMENGINE</v>
      </c>
      <c r="AI796" s="7" t="str" cm="1">
        <f t="array" ref="AI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6" s="43" t="b">
        <v>0</v>
      </c>
      <c r="AK796" s="8" t="b">
        <v>0</v>
      </c>
      <c r="BA796" s="7"/>
      <c r="BB796" s="8"/>
      <c r="BC796" s="9"/>
      <c r="BD796"/>
    </row>
    <row r="797" spans="1:56">
      <c r="A797" t="s">
        <v>3352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5" t="str">
        <f>_xlfn.XLOOKUP(PROPERTIES[[#This Row],[VEHIDCODE]],CONTROL[VEHIDCODE],CONTROL[ENGLISH])</f>
        <v>Henschel EMD TT12</v>
      </c>
      <c r="F797" t="s">
        <v>647</v>
      </c>
      <c r="G797" s="45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8">
        <v>83</v>
      </c>
      <c r="R797">
        <v>1425</v>
      </c>
      <c r="S797">
        <v>100</v>
      </c>
      <c r="T797" s="25">
        <v>240</v>
      </c>
      <c r="U797" s="25">
        <f>IFERROR(PROPERTIES[[#This Row],[TE_STARTING_KN]]/(PROPERTIES[[#This Row],[WEIGHT]]*9.81),0)</f>
        <v>0.29475700969013668</v>
      </c>
      <c r="V797" s="25">
        <v>0</v>
      </c>
      <c r="W797" s="21">
        <f>ROUND(IF(IFERROR(PROPERTIES[[#This Row],[TE_COEFFICIENT_CALC]],0)=0,PROPERTIES[[#This Row],[TE_COEFFICIENT_MANUAL]],PROPERTIES[[#This Row],[TE_COEFFICIENT_CALC]]),3)</f>
        <v>0.29499999999999998</v>
      </c>
      <c r="X797" s="9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1">
        <v>0</v>
      </c>
      <c r="Z797" s="34">
        <v>0</v>
      </c>
      <c r="AA797" t="s">
        <v>242</v>
      </c>
      <c r="AB797" t="s">
        <v>238</v>
      </c>
      <c r="AC797" t="s">
        <v>238</v>
      </c>
      <c r="AD797" s="2" t="s">
        <v>238</v>
      </c>
      <c r="AE797" s="33" t="s">
        <v>253</v>
      </c>
      <c r="AF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7" s="2" t="str">
        <f>SUBSTITUTE(SUBSTITUTE(PROPERTIES[[#This Row],[PURCHASECOST_VALUE]], "PURCHASECOST_", ""), "_VALUE", "")</f>
        <v>DIESELENGINE</v>
      </c>
      <c r="AI797" s="7" t="str" cm="1">
        <f t="array" ref="AI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797" s="49" t="b">
        <v>0</v>
      </c>
      <c r="AK797" s="8" t="b">
        <v>0</v>
      </c>
      <c r="BA797" s="7"/>
      <c r="BB797" s="8"/>
      <c r="BC797" s="9"/>
      <c r="BD797"/>
    </row>
    <row r="798" spans="1:56">
      <c r="A798" s="2" t="s">
        <v>3353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5" t="str">
        <f>_xlfn.XLOOKUP(PROPERTIES[[#This Row],[VEHIDCODE]],CONTROL[VEHIDCODE],CONTROL[ENGLISH])</f>
        <v>Henschel GE G16</v>
      </c>
      <c r="F798" t="s">
        <v>696</v>
      </c>
      <c r="G798" s="45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8">
        <v>176</v>
      </c>
      <c r="R798">
        <v>1950</v>
      </c>
      <c r="S798">
        <v>105</v>
      </c>
      <c r="T798" s="25">
        <v>512</v>
      </c>
      <c r="U798" s="25">
        <f>IFERROR(PROPERTIES[[#This Row],[TE_STARTING_KN]]/(PROPERTIES[[#This Row],[WEIGHT]]*9.81),0)</f>
        <v>0.2965434158094708</v>
      </c>
      <c r="V798" s="25">
        <v>0</v>
      </c>
      <c r="W798" s="21">
        <f>ROUND(IF(IFERROR(PROPERTIES[[#This Row],[TE_COEFFICIENT_CALC]],0)=0,PROPERTIES[[#This Row],[TE_COEFFICIENT_MANUAL]],PROPERTIES[[#This Row],[TE_COEFFICIENT_CALC]]),3)</f>
        <v>0.29699999999999999</v>
      </c>
      <c r="X798" s="9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1">
        <v>0</v>
      </c>
      <c r="Z798" s="34">
        <v>2</v>
      </c>
      <c r="AA798" t="s">
        <v>242</v>
      </c>
      <c r="AB798" t="s">
        <v>238</v>
      </c>
      <c r="AC798" t="s">
        <v>238</v>
      </c>
      <c r="AD798" s="2" t="s">
        <v>238</v>
      </c>
      <c r="AE798" s="33" t="s">
        <v>253</v>
      </c>
      <c r="AF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8" s="2" t="str">
        <f>SUBSTITUTE(SUBSTITUTE(PROPERTIES[[#This Row],[PURCHASECOST_VALUE]], "PURCHASECOST_", ""), "_VALUE", "")</f>
        <v>DIESELENGINE</v>
      </c>
      <c r="AI798" s="7" t="str" cm="1">
        <f t="array" ref="AI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798" s="49" t="b">
        <v>0</v>
      </c>
      <c r="AK798" s="8" t="b">
        <v>0</v>
      </c>
      <c r="BA798" s="7"/>
      <c r="BB798" s="8"/>
      <c r="BC798" s="9"/>
      <c r="BD798"/>
    </row>
    <row r="799" spans="1:56">
      <c r="A799" s="2" t="s">
        <v>3354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5" t="str">
        <f>_xlfn.XLOOKUP(PROPERTIES[[#This Row],[VEHIDCODE]],CONTROL[VEHIDCODE],CONTROL[ENGLISH])</f>
        <v>ACEC/BN Type 2450</v>
      </c>
      <c r="F799" t="s">
        <v>606</v>
      </c>
      <c r="G799" s="45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8">
        <v>60</v>
      </c>
      <c r="R799">
        <v>2200</v>
      </c>
      <c r="S799">
        <v>70</v>
      </c>
      <c r="T799" s="25">
        <v>137</v>
      </c>
      <c r="U799" s="24">
        <f>IFERROR(PROPERTIES[[#This Row],[TE_STARTING_KN]]/(PROPERTIES[[#This Row],[WEIGHT]]*9.81),0)</f>
        <v>0.2327556914712878</v>
      </c>
      <c r="V799" s="25">
        <v>0</v>
      </c>
      <c r="W799" s="21">
        <f>ROUND(IF(IFERROR(PROPERTIES[[#This Row],[TE_COEFFICIENT_CALC]],0)=0,PROPERTIES[[#This Row],[TE_COEFFICIENT_MANUAL]],PROPERTIES[[#This Row],[TE_COEFFICIENT_CALC]]),3)</f>
        <v>0.23300000000000001</v>
      </c>
      <c r="X799" s="9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1">
        <v>0</v>
      </c>
      <c r="Z799" s="7">
        <v>0</v>
      </c>
      <c r="AA799" t="s">
        <v>242</v>
      </c>
      <c r="AB799" t="s">
        <v>238</v>
      </c>
      <c r="AC799" t="s">
        <v>238</v>
      </c>
      <c r="AD799" s="2" t="s">
        <v>238</v>
      </c>
      <c r="AE799" s="33" t="s">
        <v>253</v>
      </c>
      <c r="AF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799" s="2" t="str">
        <f>SUBSTITUTE(SUBSTITUTE(PROPERTIES[[#This Row],[PURCHASECOST_VALUE]], "PURCHASECOST_", ""), "_VALUE", "")</f>
        <v>ELECTRICENGINE</v>
      </c>
      <c r="AI799" s="7" t="str" cm="1">
        <f t="array" ref="AI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799" s="49" t="b">
        <v>0</v>
      </c>
      <c r="AK799" s="8" t="b">
        <v>0</v>
      </c>
      <c r="BA799" s="7"/>
      <c r="BB799" s="8"/>
      <c r="BC799" s="9"/>
      <c r="BD799"/>
    </row>
    <row r="800" spans="1:56">
      <c r="A800" s="2" t="s">
        <v>3355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5" t="str">
        <f>_xlfn.XLOOKUP(PROPERTIES[[#This Row],[VEHIDCODE]],CONTROL[VEHIDCODE],CONTROL[ENGLISH])</f>
        <v>Alsthom BB-BB 300</v>
      </c>
      <c r="F800" t="s">
        <v>608</v>
      </c>
      <c r="G800" s="45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8">
        <v>130</v>
      </c>
      <c r="R800">
        <v>3600</v>
      </c>
      <c r="S800">
        <v>80</v>
      </c>
      <c r="T800" s="25">
        <v>380</v>
      </c>
      <c r="U800" s="24">
        <f>IFERROR(PROPERTIES[[#This Row],[TE_STARTING_KN]]/(PROPERTIES[[#This Row],[WEIGHT]]*9.81),0)</f>
        <v>0.29796910530855486</v>
      </c>
      <c r="V800" s="24">
        <v>0</v>
      </c>
      <c r="W800" s="21">
        <f>ROUND(IF(IFERROR(PROPERTIES[[#This Row],[TE_COEFFICIENT_CALC]],0)=0,PROPERTIES[[#This Row],[TE_COEFFICIENT_MANUAL]],PROPERTIES[[#This Row],[TE_COEFFICIENT_CALC]]),3)</f>
        <v>0.29799999999999999</v>
      </c>
      <c r="X800" s="9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1">
        <v>0</v>
      </c>
      <c r="Z800" s="7">
        <v>0</v>
      </c>
      <c r="AA800" t="s">
        <v>242</v>
      </c>
      <c r="AB800" t="s">
        <v>238</v>
      </c>
      <c r="AC800" t="s">
        <v>238</v>
      </c>
      <c r="AD800" s="2" t="s">
        <v>238</v>
      </c>
      <c r="AE800" s="2" t="s">
        <v>253</v>
      </c>
      <c r="AF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0" s="2" t="str">
        <f>SUBSTITUTE(SUBSTITUTE(PROPERTIES[[#This Row],[PURCHASECOST_VALUE]], "PURCHASECOST_", ""), "_VALUE", "")</f>
        <v>DIESELENGINE</v>
      </c>
      <c r="AI800" s="7" t="str" cm="1">
        <f t="array" ref="AI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00" s="43" t="b">
        <v>0</v>
      </c>
      <c r="AK800" s="8" t="b">
        <v>0</v>
      </c>
      <c r="BA800" s="7"/>
      <c r="BB800" s="8"/>
      <c r="BC800" s="9"/>
      <c r="BD800"/>
    </row>
    <row r="801" spans="1:56">
      <c r="A801" s="2" t="s">
        <v>3356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5" t="str">
        <f>_xlfn.XLOOKUP(PROPERTIES[[#This Row],[VEHIDCODE]],CONTROL[VEHIDCODE],CONTROL[ENGLISH])</f>
        <v>Alsthom CC 200</v>
      </c>
      <c r="F801" t="s">
        <v>812</v>
      </c>
      <c r="G801" s="45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8">
        <v>120</v>
      </c>
      <c r="R801">
        <v>2321</v>
      </c>
      <c r="S801">
        <v>100</v>
      </c>
      <c r="T801" s="25">
        <v>250</v>
      </c>
      <c r="U801" s="24">
        <f>IFERROR(PROPERTIES[[#This Row],[TE_STARTING_KN]]/(PROPERTIES[[#This Row],[WEIGHT]]*9.81),0)</f>
        <v>0.21236833163438668</v>
      </c>
      <c r="V801" s="24">
        <v>0</v>
      </c>
      <c r="W801" s="21">
        <f>ROUND(IF(IFERROR(PROPERTIES[[#This Row],[TE_COEFFICIENT_CALC]],0)=0,PROPERTIES[[#This Row],[TE_COEFFICIENT_MANUAL]],PROPERTIES[[#This Row],[TE_COEFFICIENT_CALC]]),3)</f>
        <v>0.21199999999999999</v>
      </c>
      <c r="X801" s="9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1">
        <v>0</v>
      </c>
      <c r="Z801" s="7">
        <v>0</v>
      </c>
      <c r="AA801" t="s">
        <v>242</v>
      </c>
      <c r="AB801" t="s">
        <v>238</v>
      </c>
      <c r="AC801" t="s">
        <v>238</v>
      </c>
      <c r="AD801" s="2" t="s">
        <v>238</v>
      </c>
      <c r="AE801" s="2" t="s">
        <v>253</v>
      </c>
      <c r="AF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1" s="2" t="str">
        <f>SUBSTITUTE(SUBSTITUTE(PROPERTIES[[#This Row],[PURCHASECOST_VALUE]], "PURCHASECOST_", ""), "_VALUE", "")</f>
        <v>DIESELENGINE</v>
      </c>
      <c r="AI801" s="7" t="str" cm="1">
        <f t="array" ref="AI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1" s="43" t="b">
        <v>0</v>
      </c>
      <c r="AK801" s="8" t="b">
        <v>0</v>
      </c>
      <c r="BA801" s="7"/>
      <c r="BB801" s="8"/>
      <c r="BC801" s="9"/>
      <c r="BD801"/>
    </row>
    <row r="802" spans="1:56">
      <c r="A802" s="2" t="s">
        <v>3357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5" t="str">
        <f>_xlfn.XLOOKUP(PROPERTIES[[#This Row],[VEHIDCODE]],CONTROL[VEHIDCODE],CONTROL[ENGLISH])</f>
        <v>GMD GT22LC-2</v>
      </c>
      <c r="F802" t="s">
        <v>610</v>
      </c>
      <c r="G802" s="45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8">
        <v>95</v>
      </c>
      <c r="R802">
        <v>2250</v>
      </c>
      <c r="S802">
        <v>105</v>
      </c>
      <c r="T802" s="25">
        <v>231</v>
      </c>
      <c r="U802" s="25">
        <f>IFERROR(PROPERTIES[[#This Row],[TE_STARTING_KN]]/(PROPERTIES[[#This Row],[WEIGHT]]*9.81),0)</f>
        <v>0.24786737485916624</v>
      </c>
      <c r="V802" s="25">
        <v>0</v>
      </c>
      <c r="W802" s="21">
        <f>ROUND(IF(IFERROR(PROPERTIES[[#This Row],[TE_COEFFICIENT_CALC]],0)=0,PROPERTIES[[#This Row],[TE_COEFFICIENT_MANUAL]],PROPERTIES[[#This Row],[TE_COEFFICIENT_CALC]]),3)</f>
        <v>0.248</v>
      </c>
      <c r="X802" s="9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1">
        <v>0</v>
      </c>
      <c r="Z802" s="7">
        <v>0</v>
      </c>
      <c r="AA802" t="s">
        <v>242</v>
      </c>
      <c r="AB802" t="s">
        <v>238</v>
      </c>
      <c r="AC802" t="s">
        <v>238</v>
      </c>
      <c r="AD802" s="2" t="s">
        <v>238</v>
      </c>
      <c r="AE802" s="2" t="s">
        <v>253</v>
      </c>
      <c r="AF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2" s="2" t="str">
        <f>SUBSTITUTE(SUBSTITUTE(PROPERTIES[[#This Row],[PURCHASECOST_VALUE]], "PURCHASECOST_", ""), "_VALUE", "")</f>
        <v>DIESELENGINE</v>
      </c>
      <c r="AI802" s="7" t="str" cm="1">
        <f t="array" ref="AI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2" s="43" t="b">
        <v>0</v>
      </c>
      <c r="AK802" s="8" t="b">
        <v>0</v>
      </c>
      <c r="BA802" s="7"/>
      <c r="BB802" s="8"/>
      <c r="BC802" s="9"/>
      <c r="BD802"/>
    </row>
    <row r="803" spans="1:56">
      <c r="A803" s="2" t="s">
        <v>3358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5" t="str">
        <f>_xlfn.XLOOKUP(PROPERTIES[[#This Row],[VEHIDCODE]],CONTROL[VEHIDCODE],CONTROL[ENGLISH])</f>
        <v>TRC E6800</v>
      </c>
      <c r="F803" t="s">
        <v>792</v>
      </c>
      <c r="G803" s="45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8">
        <v>86</v>
      </c>
      <c r="R803">
        <v>6705</v>
      </c>
      <c r="S803">
        <v>160</v>
      </c>
      <c r="T803" s="25">
        <v>285</v>
      </c>
      <c r="U803" s="25">
        <f>IFERROR(PROPERTIES[[#This Row],[TE_STARTING_KN]]/(PROPERTIES[[#This Row],[WEIGHT]]*9.81),0)</f>
        <v>0.33781381125097787</v>
      </c>
      <c r="V803" s="25">
        <v>0</v>
      </c>
      <c r="W803" s="21">
        <f>ROUND(IF(IFERROR(PROPERTIES[[#This Row],[TE_COEFFICIENT_CALC]],0)=0,PROPERTIES[[#This Row],[TE_COEFFICIENT_MANUAL]],PROPERTIES[[#This Row],[TE_COEFFICIENT_CALC]]),3)</f>
        <v>0.33800000000000002</v>
      </c>
      <c r="X803" s="9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1">
        <v>0</v>
      </c>
      <c r="Z803" s="7">
        <v>0</v>
      </c>
      <c r="AA803" t="s">
        <v>242</v>
      </c>
      <c r="AB803" t="s">
        <v>238</v>
      </c>
      <c r="AC803" t="s">
        <v>238</v>
      </c>
      <c r="AD803" s="2" t="s">
        <v>238</v>
      </c>
      <c r="AE803" s="2" t="s">
        <v>253</v>
      </c>
      <c r="AF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03" s="2" t="str">
        <f>SUBSTITUTE(SUBSTITUTE(PROPERTIES[[#This Row],[PURCHASECOST_VALUE]], "PURCHASECOST_", ""), "_VALUE", "")</f>
        <v>ELECTRICENGINE</v>
      </c>
      <c r="AI803" s="7" t="str" cm="1">
        <f t="array" ref="AI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3" s="43" t="b">
        <v>0</v>
      </c>
      <c r="AK803" s="8" t="b">
        <v>0</v>
      </c>
      <c r="BA803" s="7"/>
      <c r="BB803" s="8"/>
      <c r="BC803" s="9"/>
      <c r="BD803"/>
    </row>
    <row r="804" spans="1:56">
      <c r="A804" s="2" t="s">
        <v>3359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5" t="str">
        <f>_xlfn.XLOOKUP(PROPERTIES[[#This Row],[VEHIDCODE]],CONTROL[VEHIDCODE],CONTROL[ENGLISH])</f>
        <v>Brooklyn Union Gate Elevated</v>
      </c>
      <c r="F804" t="s">
        <v>796</v>
      </c>
      <c r="G804" s="45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8">
        <v>28</v>
      </c>
      <c r="R804">
        <v>200</v>
      </c>
      <c r="S804">
        <v>60</v>
      </c>
      <c r="T804" s="25">
        <v>25</v>
      </c>
      <c r="U804" s="24">
        <f>IFERROR(PROPERTIES[[#This Row],[TE_STARTING_KN]]/(PROPERTIES[[#This Row],[WEIGHT]]*9.81),0)</f>
        <v>9.1014999271880004E-2</v>
      </c>
      <c r="V804" s="24">
        <v>0</v>
      </c>
      <c r="W804" s="21">
        <f>ROUND(IF(IFERROR(PROPERTIES[[#This Row],[TE_COEFFICIENT_CALC]],0)=0,PROPERTIES[[#This Row],[TE_COEFFICIENT_MANUAL]],PROPERTIES[[#This Row],[TE_COEFFICIENT_CALC]]),3)</f>
        <v>9.0999999999999998E-2</v>
      </c>
      <c r="X804" s="9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1">
        <v>48</v>
      </c>
      <c r="Z804" s="7">
        <v>7</v>
      </c>
      <c r="AA804" t="s">
        <v>244</v>
      </c>
      <c r="AB804" t="s">
        <v>238</v>
      </c>
      <c r="AC804" t="s">
        <v>238</v>
      </c>
      <c r="AD804" s="2" t="s">
        <v>238</v>
      </c>
      <c r="AE804" s="8" t="s">
        <v>253</v>
      </c>
      <c r="AF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04" s="2" t="str">
        <f>SUBSTITUTE(SUBSTITUTE(PROPERTIES[[#This Row],[PURCHASECOST_VALUE]], "PURCHASECOST_", ""), "_VALUE", "")</f>
        <v>METRO</v>
      </c>
      <c r="AI804" s="7" t="str" cm="1">
        <f t="array" ref="AI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04" s="9" t="b">
        <v>0</v>
      </c>
      <c r="AK804" s="8" t="b">
        <v>0</v>
      </c>
      <c r="BA804" s="7"/>
      <c r="BB804" s="8"/>
      <c r="BC804" s="9"/>
      <c r="BD804"/>
    </row>
    <row r="805" spans="1:56">
      <c r="A805" s="2" t="s">
        <v>1782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5" t="str">
        <f>_xlfn.XLOOKUP(PROPERTIES[[#This Row],[VEHIDCODE]],CONTROL[VEHIDCODE],CONTROL[ENGLISH])</f>
        <v>'CityNightLine' Sleeper</v>
      </c>
      <c r="G805" s="45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8">
        <v>40</v>
      </c>
      <c r="R805">
        <v>0</v>
      </c>
      <c r="S805">
        <v>160</v>
      </c>
      <c r="T805" s="25">
        <v>0</v>
      </c>
      <c r="U805" s="25">
        <f>IFERROR(PROPERTIES[[#This Row],[TE_STARTING_KN]]/(PROPERTIES[[#This Row],[WEIGHT]]*9.81),0)</f>
        <v>0</v>
      </c>
      <c r="V805" s="25">
        <v>0.3</v>
      </c>
      <c r="W805" s="21">
        <f>ROUND(IF(IFERROR(PROPERTIES[[#This Row],[TE_COEFFICIENT_CALC]],0)=0,PROPERTIES[[#This Row],[TE_COEFFICIENT_MANUAL]],PROPERTIES[[#This Row],[TE_COEFFICIENT_CALC]]),3)</f>
        <v>0.3</v>
      </c>
      <c r="X805" s="9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1">
        <v>0</v>
      </c>
      <c r="Z805" s="7">
        <v>0</v>
      </c>
      <c r="AA805" t="s">
        <v>250</v>
      </c>
      <c r="AB805" t="s">
        <v>238</v>
      </c>
      <c r="AC805" t="s">
        <v>238</v>
      </c>
      <c r="AD805" s="2" t="s">
        <v>238</v>
      </c>
      <c r="AE805" s="2" t="s">
        <v>253</v>
      </c>
      <c r="AF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5" s="2" t="str">
        <f>SUBSTITUTE(SUBSTITUTE(PROPERTIES[[#This Row],[PURCHASECOST_VALUE]], "PURCHASECOST_", ""), "_VALUE", "")</f>
        <v>COACH</v>
      </c>
      <c r="AI805" s="7" t="str" cm="1">
        <f t="array" ref="AI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805" s="43" t="b">
        <v>0</v>
      </c>
      <c r="AK805" s="8" t="b">
        <v>0</v>
      </c>
      <c r="BA805" s="7"/>
      <c r="BB805" s="8"/>
      <c r="BC805" s="9"/>
      <c r="BD805"/>
    </row>
    <row r="806" spans="1:56">
      <c r="A806" s="2" t="s">
        <v>1783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5" t="str">
        <f>_xlfn.XLOOKUP(PROPERTIES[[#This Row],[VEHIDCODE]],CONTROL[VEHIDCODE],CONTROL[ENGLISH])</f>
        <v>'Trans Euro Night' Sleeper</v>
      </c>
      <c r="G806" s="45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8">
        <v>40</v>
      </c>
      <c r="R806">
        <v>0</v>
      </c>
      <c r="S806">
        <v>140</v>
      </c>
      <c r="T806" s="25">
        <v>0</v>
      </c>
      <c r="U806" s="25">
        <f>IFERROR(PROPERTIES[[#This Row],[TE_STARTING_KN]]/(PROPERTIES[[#This Row],[WEIGHT]]*9.81),0)</f>
        <v>0</v>
      </c>
      <c r="V806" s="25">
        <v>0.3</v>
      </c>
      <c r="W806" s="21">
        <f>ROUND(IF(IFERROR(PROPERTIES[[#This Row],[TE_COEFFICIENT_CALC]],0)=0,PROPERTIES[[#This Row],[TE_COEFFICIENT_MANUAL]],PROPERTIES[[#This Row],[TE_COEFFICIENT_CALC]]),3)</f>
        <v>0.3</v>
      </c>
      <c r="X806" s="9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1">
        <v>0</v>
      </c>
      <c r="Z806" s="7">
        <v>0</v>
      </c>
      <c r="AA806" t="s">
        <v>250</v>
      </c>
      <c r="AB806" t="s">
        <v>238</v>
      </c>
      <c r="AC806" t="s">
        <v>238</v>
      </c>
      <c r="AD806" s="2" t="s">
        <v>238</v>
      </c>
      <c r="AE806" s="2" t="s">
        <v>253</v>
      </c>
      <c r="AF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6" s="2" t="str">
        <f>SUBSTITUTE(SUBSTITUTE(PROPERTIES[[#This Row],[PURCHASECOST_VALUE]], "PURCHASECOST_", ""), "_VALUE", "")</f>
        <v>COACH</v>
      </c>
      <c r="AI806" s="7" t="str" cm="1">
        <f t="array" ref="AI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806" s="43" t="b">
        <v>0</v>
      </c>
      <c r="AK806" s="8" t="b">
        <v>0</v>
      </c>
      <c r="BA806" s="7"/>
      <c r="BB806" s="8"/>
      <c r="BC806" s="9"/>
      <c r="BD806"/>
    </row>
    <row r="807" spans="1:56">
      <c r="A807" s="2" t="s">
        <v>1766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5" t="str">
        <f>_xlfn.XLOOKUP(PROPERTIES[[#This Row],[VEHIDCODE]],CONTROL[VEHIDCODE],CONTROL[ENGLISH])</f>
        <v>1st Gen Livestock Van</v>
      </c>
      <c r="G807" s="45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1774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8">
        <v>6</v>
      </c>
      <c r="R807">
        <v>0</v>
      </c>
      <c r="S807">
        <v>55</v>
      </c>
      <c r="T807" s="25">
        <v>0</v>
      </c>
      <c r="U807" s="24">
        <f>IFERROR(PROPERTIES[[#This Row],[TE_STARTING_KN]]/(PROPERTIES[[#This Row],[WEIGHT]]*9.81),0)</f>
        <v>0</v>
      </c>
      <c r="V807" s="24">
        <v>0.3</v>
      </c>
      <c r="W807" s="21">
        <f>ROUND(IF(IFERROR(PROPERTIES[[#This Row],[TE_COEFFICIENT_CALC]],0)=0,PROPERTIES[[#This Row],[TE_COEFFICIENT_MANUAL]],PROPERTIES[[#This Row],[TE_COEFFICIENT_CALC]]),3)</f>
        <v>0.3</v>
      </c>
      <c r="X807" s="9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1">
        <v>0</v>
      </c>
      <c r="Z807" s="7">
        <v>0</v>
      </c>
      <c r="AA807" t="s">
        <v>250</v>
      </c>
      <c r="AB807" t="s">
        <v>238</v>
      </c>
      <c r="AC807" t="s">
        <v>238</v>
      </c>
      <c r="AD807" s="2" t="s">
        <v>238</v>
      </c>
      <c r="AE807" s="2" t="s">
        <v>253</v>
      </c>
      <c r="AF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7" s="2" t="str">
        <f>SUBSTITUTE(SUBSTITUTE(PROPERTIES[[#This Row],[PURCHASECOST_VALUE]], "PURCHASECOST_", ""), "_VALUE", "")</f>
        <v>WAGON</v>
      </c>
      <c r="AI807" s="7" t="str" cm="1">
        <f t="array" ref="AI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7" s="43" t="b">
        <v>0</v>
      </c>
      <c r="AK807" s="8" t="b">
        <v>0</v>
      </c>
      <c r="BA807" s="7"/>
      <c r="BB807" s="8"/>
      <c r="BC807" s="9"/>
      <c r="BD807"/>
    </row>
    <row r="808" spans="1:56">
      <c r="A808" s="2" t="s">
        <v>1761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5" t="str">
        <f>_xlfn.XLOOKUP(PROPERTIES[[#This Row],[VEHIDCODE]],CONTROL[VEHIDCODE],CONTROL[ENGLISH])</f>
        <v>2nd Gen Livestock Van</v>
      </c>
      <c r="G808" s="45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1774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8">
        <v>12</v>
      </c>
      <c r="R808">
        <v>0</v>
      </c>
      <c r="S808">
        <v>90</v>
      </c>
      <c r="T808" s="25">
        <v>0</v>
      </c>
      <c r="U808" s="24">
        <f>IFERROR(PROPERTIES[[#This Row],[TE_STARTING_KN]]/(PROPERTIES[[#This Row],[WEIGHT]]*9.81),0)</f>
        <v>0</v>
      </c>
      <c r="V808" s="24">
        <v>0.3</v>
      </c>
      <c r="W808" s="21">
        <f>ROUND(IF(IFERROR(PROPERTIES[[#This Row],[TE_COEFFICIENT_CALC]],0)=0,PROPERTIES[[#This Row],[TE_COEFFICIENT_MANUAL]],PROPERTIES[[#This Row],[TE_COEFFICIENT_CALC]]),3)</f>
        <v>0.3</v>
      </c>
      <c r="X808" s="9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1">
        <v>0</v>
      </c>
      <c r="Z808" s="7">
        <v>0</v>
      </c>
      <c r="AA808" t="s">
        <v>250</v>
      </c>
      <c r="AB808" t="s">
        <v>238</v>
      </c>
      <c r="AC808" t="s">
        <v>238</v>
      </c>
      <c r="AD808" s="2" t="s">
        <v>238</v>
      </c>
      <c r="AE808" s="2" t="s">
        <v>253</v>
      </c>
      <c r="AF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8" s="2" t="str">
        <f>SUBSTITUTE(SUBSTITUTE(PROPERTIES[[#This Row],[PURCHASECOST_VALUE]], "PURCHASECOST_", ""), "_VALUE", "")</f>
        <v>WAGON</v>
      </c>
      <c r="AI808" s="7" t="str" cm="1">
        <f t="array" ref="AI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8" s="43" t="b">
        <v>0</v>
      </c>
      <c r="AK808" s="8" t="b">
        <v>0</v>
      </c>
      <c r="BA808" s="7"/>
      <c r="BB808" s="8"/>
      <c r="BC808" s="9"/>
      <c r="BD808"/>
    </row>
    <row r="809" spans="1:56">
      <c r="A809" s="2" t="s">
        <v>1762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5" t="str">
        <f>_xlfn.XLOOKUP(PROPERTIES[[#This Row],[VEHIDCODE]],CONTROL[VEHIDCODE],CONTROL[ENGLISH])</f>
        <v>3rd Gen Livestock Van</v>
      </c>
      <c r="G809" s="45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1774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8">
        <v>23</v>
      </c>
      <c r="R809">
        <v>0</v>
      </c>
      <c r="S809">
        <v>100</v>
      </c>
      <c r="T809" s="25">
        <v>0</v>
      </c>
      <c r="U809" s="24">
        <f>IFERROR(PROPERTIES[[#This Row],[TE_STARTING_KN]]/(PROPERTIES[[#This Row],[WEIGHT]]*9.81),0)</f>
        <v>0</v>
      </c>
      <c r="V809" s="24">
        <v>0.3</v>
      </c>
      <c r="W809" s="21">
        <f>ROUND(IF(IFERROR(PROPERTIES[[#This Row],[TE_COEFFICIENT_CALC]],0)=0,PROPERTIES[[#This Row],[TE_COEFFICIENT_MANUAL]],PROPERTIES[[#This Row],[TE_COEFFICIENT_CALC]]),3)</f>
        <v>0.3</v>
      </c>
      <c r="X809" s="9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1">
        <v>0</v>
      </c>
      <c r="Z809" s="7">
        <v>0</v>
      </c>
      <c r="AA809" t="s">
        <v>250</v>
      </c>
      <c r="AB809" t="s">
        <v>238</v>
      </c>
      <c r="AC809" t="s">
        <v>238</v>
      </c>
      <c r="AD809" s="2" t="s">
        <v>238</v>
      </c>
      <c r="AE809" s="2" t="s">
        <v>253</v>
      </c>
      <c r="AF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9" s="2" t="str">
        <f>SUBSTITUTE(SUBSTITUTE(PROPERTIES[[#This Row],[PURCHASECOST_VALUE]], "PURCHASECOST_", ""), "_VALUE", "")</f>
        <v>WAGON</v>
      </c>
      <c r="AI809" s="7" t="str" cm="1">
        <f t="array" ref="AI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9" s="43" t="b">
        <v>0</v>
      </c>
      <c r="AK809" s="8" t="b">
        <v>0</v>
      </c>
      <c r="BA809" s="7"/>
      <c r="BB809" s="8"/>
      <c r="BC809" s="9"/>
      <c r="BD809"/>
    </row>
    <row r="810" spans="1:56">
      <c r="A810" s="2" t="s">
        <v>1763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5" t="str">
        <f>_xlfn.XLOOKUP(PROPERTIES[[#This Row],[VEHIDCODE]],CONTROL[VEHIDCODE],CONTROL[ENGLISH])</f>
        <v>4th Gen Livestock Van</v>
      </c>
      <c r="G810" s="45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1774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8">
        <v>30</v>
      </c>
      <c r="R810">
        <v>0</v>
      </c>
      <c r="S810">
        <v>120</v>
      </c>
      <c r="T810" s="25">
        <v>0</v>
      </c>
      <c r="U810" s="24">
        <f>IFERROR(PROPERTIES[[#This Row],[TE_STARTING_KN]]/(PROPERTIES[[#This Row],[WEIGHT]]*9.81),0)</f>
        <v>0</v>
      </c>
      <c r="V810" s="24">
        <v>0.3</v>
      </c>
      <c r="W810" s="21">
        <f>ROUND(IF(IFERROR(PROPERTIES[[#This Row],[TE_COEFFICIENT_CALC]],0)=0,PROPERTIES[[#This Row],[TE_COEFFICIENT_MANUAL]],PROPERTIES[[#This Row],[TE_COEFFICIENT_CALC]]),3)</f>
        <v>0.3</v>
      </c>
      <c r="X810" s="9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1">
        <v>0</v>
      </c>
      <c r="Z810" s="7">
        <v>0</v>
      </c>
      <c r="AA810" t="s">
        <v>250</v>
      </c>
      <c r="AB810" t="s">
        <v>238</v>
      </c>
      <c r="AC810" t="s">
        <v>238</v>
      </c>
      <c r="AD810" s="2" t="s">
        <v>238</v>
      </c>
      <c r="AE810" s="2" t="s">
        <v>253</v>
      </c>
      <c r="AF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0" s="2" t="str">
        <f>SUBSTITUTE(SUBSTITUTE(PROPERTIES[[#This Row],[PURCHASECOST_VALUE]], "PURCHASECOST_", ""), "_VALUE", "")</f>
        <v>WAGON</v>
      </c>
      <c r="AI810" s="7" t="str" cm="1">
        <f t="array" ref="AI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0" s="43" t="b">
        <v>0</v>
      </c>
      <c r="AK810" s="8" t="b">
        <v>0</v>
      </c>
      <c r="BA810" s="7"/>
      <c r="BB810" s="8"/>
      <c r="BC810" s="9"/>
      <c r="BD810"/>
    </row>
    <row r="811" spans="1:56">
      <c r="A811" s="2" t="s">
        <v>1764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5" t="str">
        <f>_xlfn.XLOOKUP(PROPERTIES[[#This Row],[VEHIDCODE]],CONTROL[VEHIDCODE],CONTROL[ENGLISH])</f>
        <v>5th Gen Livestock Van</v>
      </c>
      <c r="G811" s="45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1774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8">
        <v>27</v>
      </c>
      <c r="R811">
        <v>0</v>
      </c>
      <c r="S811">
        <v>120</v>
      </c>
      <c r="T811" s="25">
        <v>0</v>
      </c>
      <c r="U811" s="24">
        <f>IFERROR(PROPERTIES[[#This Row],[TE_STARTING_KN]]/(PROPERTIES[[#This Row],[WEIGHT]]*9.81),0)</f>
        <v>0</v>
      </c>
      <c r="V811" s="24">
        <v>0.3</v>
      </c>
      <c r="W811" s="21">
        <f>ROUND(IF(IFERROR(PROPERTIES[[#This Row],[TE_COEFFICIENT_CALC]],0)=0,PROPERTIES[[#This Row],[TE_COEFFICIENT_MANUAL]],PROPERTIES[[#This Row],[TE_COEFFICIENT_CALC]]),3)</f>
        <v>0.3</v>
      </c>
      <c r="X811" s="9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1">
        <v>0</v>
      </c>
      <c r="Z811" s="7">
        <v>0</v>
      </c>
      <c r="AA811" t="s">
        <v>250</v>
      </c>
      <c r="AB811" t="s">
        <v>238</v>
      </c>
      <c r="AC811" t="s">
        <v>238</v>
      </c>
      <c r="AD811" s="2" t="s">
        <v>238</v>
      </c>
      <c r="AE811" s="2" t="s">
        <v>253</v>
      </c>
      <c r="AF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1" s="2" t="str">
        <f>SUBSTITUTE(SUBSTITUTE(PROPERTIES[[#This Row],[PURCHASECOST_VALUE]], "PURCHASECOST_", ""), "_VALUE", "")</f>
        <v>WAGON</v>
      </c>
      <c r="AI811" s="7" t="str" cm="1">
        <f t="array" ref="AI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1" s="43" t="b">
        <v>0</v>
      </c>
      <c r="AK811" s="8" t="b">
        <v>0</v>
      </c>
      <c r="BA811" s="7"/>
      <c r="BB811" s="8"/>
      <c r="BC811" s="9"/>
      <c r="BD811"/>
    </row>
    <row r="812" spans="1:56">
      <c r="A812" s="2" t="s">
        <v>1765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5" t="str">
        <f>_xlfn.XLOOKUP(PROPERTIES[[#This Row],[VEHIDCODE]],CONTROL[VEHIDCODE],CONTROL[ENGLISH])</f>
        <v>6th Gen Livestock Van</v>
      </c>
      <c r="G812" s="45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1774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8">
        <v>27</v>
      </c>
      <c r="R812">
        <v>0</v>
      </c>
      <c r="S812">
        <v>160</v>
      </c>
      <c r="T812" s="25">
        <v>0</v>
      </c>
      <c r="U812" s="24">
        <f>IFERROR(PROPERTIES[[#This Row],[TE_STARTING_KN]]/(PROPERTIES[[#This Row],[WEIGHT]]*9.81),0)</f>
        <v>0</v>
      </c>
      <c r="V812" s="24">
        <v>0.3</v>
      </c>
      <c r="W812" s="21">
        <f>ROUND(IF(IFERROR(PROPERTIES[[#This Row],[TE_COEFFICIENT_CALC]],0)=0,PROPERTIES[[#This Row],[TE_COEFFICIENT_MANUAL]],PROPERTIES[[#This Row],[TE_COEFFICIENT_CALC]]),3)</f>
        <v>0.3</v>
      </c>
      <c r="X812" s="9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1">
        <v>0</v>
      </c>
      <c r="Z812" s="7">
        <v>0</v>
      </c>
      <c r="AA812" t="s">
        <v>250</v>
      </c>
      <c r="AB812" t="s">
        <v>238</v>
      </c>
      <c r="AC812" t="s">
        <v>238</v>
      </c>
      <c r="AD812" s="2" t="s">
        <v>238</v>
      </c>
      <c r="AE812" s="2" t="s">
        <v>253</v>
      </c>
      <c r="AF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2" s="2" t="str">
        <f>SUBSTITUTE(SUBSTITUTE(PROPERTIES[[#This Row],[PURCHASECOST_VALUE]], "PURCHASECOST_", ""), "_VALUE", "")</f>
        <v>WAGON</v>
      </c>
      <c r="AI812" s="7" t="str" cm="1">
        <f t="array" ref="AI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2" s="43" t="b">
        <v>0</v>
      </c>
      <c r="AK812" s="8" t="b">
        <v>0</v>
      </c>
      <c r="BA812" s="7"/>
      <c r="BB812" s="8"/>
      <c r="BC812" s="9"/>
      <c r="BD812"/>
    </row>
    <row r="813" spans="1:56">
      <c r="A813" s="2" t="s">
        <v>1786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5" t="str">
        <f>_xlfn.XLOOKUP(PROPERTIES[[#This Row],[VEHIDCODE]],CONTROL[VEHIDCODE],CONTROL[ENGLISH])</f>
        <v>7th Gen Livestock Van</v>
      </c>
      <c r="G813" s="45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1774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8">
        <v>27</v>
      </c>
      <c r="R813">
        <v>0</v>
      </c>
      <c r="S813">
        <v>180</v>
      </c>
      <c r="T813" s="25">
        <v>0</v>
      </c>
      <c r="U813" s="24">
        <f>IFERROR(PROPERTIES[[#This Row],[TE_STARTING_KN]]/(PROPERTIES[[#This Row],[WEIGHT]]*9.81),0)</f>
        <v>0</v>
      </c>
      <c r="V813" s="24">
        <v>0.3</v>
      </c>
      <c r="W813" s="21">
        <f>ROUND(IF(IFERROR(PROPERTIES[[#This Row],[TE_COEFFICIENT_CALC]],0)=0,PROPERTIES[[#This Row],[TE_COEFFICIENT_MANUAL]],PROPERTIES[[#This Row],[TE_COEFFICIENT_CALC]]),3)</f>
        <v>0.3</v>
      </c>
      <c r="X813" s="9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1">
        <v>0</v>
      </c>
      <c r="Z813" s="7">
        <v>0</v>
      </c>
      <c r="AA813" t="s">
        <v>250</v>
      </c>
      <c r="AB813" t="s">
        <v>238</v>
      </c>
      <c r="AC813" t="s">
        <v>238</v>
      </c>
      <c r="AD813" s="2" t="s">
        <v>238</v>
      </c>
      <c r="AE813" s="2" t="s">
        <v>254</v>
      </c>
      <c r="AF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3" s="2" t="str">
        <f>SUBSTITUTE(SUBSTITUTE(PROPERTIES[[#This Row],[PURCHASECOST_VALUE]], "PURCHASECOST_", ""), "_VALUE", "")</f>
        <v>WAGON</v>
      </c>
      <c r="AI813" s="7" t="str" cm="1">
        <f t="array" ref="AI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3" s="43" t="b">
        <v>0</v>
      </c>
      <c r="AK813" s="8" t="b">
        <v>0</v>
      </c>
      <c r="BA813" s="7"/>
      <c r="BB813" s="8"/>
      <c r="BC813" s="9"/>
      <c r="BD813"/>
    </row>
    <row r="814" spans="1:56">
      <c r="A814" s="2" t="s">
        <v>3360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5" t="str">
        <f>_xlfn.XLOOKUP(PROPERTIES[[#This Row],[VEHIDCODE]],CONTROL[VEHIDCODE],CONTROL[ENGLISH])</f>
        <v>Ganz-MAVAG VM15 'V63'</v>
      </c>
      <c r="F814" t="s">
        <v>665</v>
      </c>
      <c r="G814" s="45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8">
        <v>118</v>
      </c>
      <c r="R814">
        <v>4800</v>
      </c>
      <c r="S814">
        <v>130</v>
      </c>
      <c r="T814" s="25">
        <v>415</v>
      </c>
      <c r="U814" s="24">
        <f>IFERROR(PROPERTIES[[#This Row],[TE_STARTING_KN]]/(PROPERTIES[[#This Row],[WEIGHT]]*9.81),0)</f>
        <v>0.35850653950482897</v>
      </c>
      <c r="V814" s="24">
        <v>0</v>
      </c>
      <c r="W814" s="21">
        <f>ROUND(IF(IFERROR(PROPERTIES[[#This Row],[TE_COEFFICIENT_CALC]],0)=0,PROPERTIES[[#This Row],[TE_COEFFICIENT_MANUAL]],PROPERTIES[[#This Row],[TE_COEFFICIENT_CALC]]),3)</f>
        <v>0.35899999999999999</v>
      </c>
      <c r="X814" s="9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1">
        <v>0</v>
      </c>
      <c r="Z814" s="7">
        <v>2</v>
      </c>
      <c r="AA814" t="s">
        <v>245</v>
      </c>
      <c r="AB814" t="s">
        <v>238</v>
      </c>
      <c r="AC814" t="s">
        <v>238</v>
      </c>
      <c r="AD814" s="2" t="s">
        <v>238</v>
      </c>
      <c r="AE814" s="2" t="s">
        <v>253</v>
      </c>
      <c r="AF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14" s="2" t="str">
        <f>SUBSTITUTE(SUBSTITUTE(PROPERTIES[[#This Row],[PURCHASECOST_VALUE]], "PURCHASECOST_", ""), "_VALUE", "")</f>
        <v>ELECTRICENGINE</v>
      </c>
      <c r="AI814" s="7" t="str" cm="1">
        <f t="array" ref="AI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14" s="43" t="b">
        <v>0</v>
      </c>
      <c r="AK814" s="8" t="b">
        <v>0</v>
      </c>
      <c r="BA814" s="7"/>
      <c r="BB814" s="8"/>
      <c r="BC814" s="9"/>
      <c r="BD814"/>
    </row>
    <row r="815" spans="1:56">
      <c r="A815" s="2" t="s">
        <v>3361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5" t="str">
        <f>_xlfn.XLOOKUP(PROPERTIES[[#This Row],[VEHIDCODE]],CONTROL[VEHIDCODE],CONTROL[ENGLISH])</f>
        <v>BREL/ABB London 1992 Stock</v>
      </c>
      <c r="F815" t="s">
        <v>642</v>
      </c>
      <c r="G815" s="45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8">
        <v>22.5</v>
      </c>
      <c r="R815">
        <v>1700</v>
      </c>
      <c r="S815">
        <v>100</v>
      </c>
      <c r="T815" s="25">
        <v>0</v>
      </c>
      <c r="U815" s="24">
        <f>IFERROR(PROPERTIES[[#This Row],[TE_STARTING_KN]]/(PROPERTIES[[#This Row],[WEIGHT]]*9.81),0)</f>
        <v>0</v>
      </c>
      <c r="V815" s="24">
        <v>0.3</v>
      </c>
      <c r="W815" s="21">
        <f>ROUND(IF(IFERROR(PROPERTIES[[#This Row],[TE_COEFFICIENT_CALC]],0)=0,PROPERTIES[[#This Row],[TE_COEFFICIENT_MANUAL]],PROPERTIES[[#This Row],[TE_COEFFICIENT_CALC]]),3)</f>
        <v>0.3</v>
      </c>
      <c r="X815" s="9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1">
        <v>125</v>
      </c>
      <c r="Z815" s="7">
        <v>8</v>
      </c>
      <c r="AA815" t="s">
        <v>243</v>
      </c>
      <c r="AB815" t="s">
        <v>238</v>
      </c>
      <c r="AC815" t="s">
        <v>238</v>
      </c>
      <c r="AD815" s="2" t="s">
        <v>238</v>
      </c>
      <c r="AE815" s="2" t="s">
        <v>253</v>
      </c>
      <c r="AF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5" s="2" t="str">
        <f>SUBSTITUTE(SUBSTITUTE(PROPERTIES[[#This Row],[PURCHASECOST_VALUE]], "PURCHASECOST_", ""), "_VALUE", "")</f>
        <v>METRO</v>
      </c>
      <c r="AI815" s="7" t="str" cm="1">
        <f t="array" ref="AI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5" s="43" t="b">
        <v>0</v>
      </c>
      <c r="AK815" s="8" t="b">
        <v>0</v>
      </c>
      <c r="BA815" s="7"/>
      <c r="BB815" s="8"/>
      <c r="BC815" s="9"/>
      <c r="BD815"/>
    </row>
    <row r="816" spans="1:56">
      <c r="A816" s="2" t="s">
        <v>3362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5" t="str">
        <f>_xlfn.XLOOKUP(PROPERTIES[[#This Row],[VEHIDCODE]],CONTROL[VEHIDCODE],CONTROL[ENGLISH])</f>
        <v>Bombardier Movia London S Stock</v>
      </c>
      <c r="F816" t="s">
        <v>642</v>
      </c>
      <c r="G816" s="45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8">
        <f>INT(238/8)</f>
        <v>29</v>
      </c>
      <c r="R816">
        <v>2000</v>
      </c>
      <c r="S816">
        <v>100</v>
      </c>
      <c r="T816" s="25">
        <v>0</v>
      </c>
      <c r="U816" s="24">
        <f>IFERROR(PROPERTIES[[#This Row],[TE_STARTING_KN]]/(PROPERTIES[[#This Row],[WEIGHT]]*9.81),0)</f>
        <v>0</v>
      </c>
      <c r="V816" s="24">
        <v>0.3</v>
      </c>
      <c r="W816" s="21">
        <f>ROUND(IF(IFERROR(PROPERTIES[[#This Row],[TE_COEFFICIENT_CALC]],0)=0,PROPERTIES[[#This Row],[TE_COEFFICIENT_MANUAL]],PROPERTIES[[#This Row],[TE_COEFFICIENT_CALC]]),3)</f>
        <v>0.3</v>
      </c>
      <c r="X816" s="9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1">
        <v>160</v>
      </c>
      <c r="Z816" s="7">
        <v>8</v>
      </c>
      <c r="AA816" t="s">
        <v>243</v>
      </c>
      <c r="AB816" t="s">
        <v>238</v>
      </c>
      <c r="AC816" t="s">
        <v>238</v>
      </c>
      <c r="AD816" s="2" t="s">
        <v>238</v>
      </c>
      <c r="AE816" s="2" t="s">
        <v>253</v>
      </c>
      <c r="AF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6" s="2" t="str">
        <f>SUBSTITUTE(SUBSTITUTE(PROPERTIES[[#This Row],[PURCHASECOST_VALUE]], "PURCHASECOST_", ""), "_VALUE", "")</f>
        <v>METRO</v>
      </c>
      <c r="AI816" s="7" t="str" cm="1">
        <f t="array" ref="AI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6" s="43" t="b">
        <v>0</v>
      </c>
      <c r="AK816" s="8" t="b">
        <v>0</v>
      </c>
      <c r="BA816" s="7"/>
      <c r="BB816" s="8"/>
      <c r="BC816" s="9"/>
      <c r="BD816"/>
    </row>
    <row r="817" spans="1:56">
      <c r="A817" s="2" t="s">
        <v>3363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5" t="str">
        <f>_xlfn.XLOOKUP(PROPERTIES[[#This Row],[VEHIDCODE]],CONTROL[VEHIDCODE],CONTROL[ENGLISH])</f>
        <v>Metro-Cammell London 1972 Stock</v>
      </c>
      <c r="F817" t="s">
        <v>642</v>
      </c>
      <c r="G817" s="45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8">
        <f>INT(238/8)</f>
        <v>29</v>
      </c>
      <c r="R817">
        <v>1400</v>
      </c>
      <c r="S817">
        <v>72</v>
      </c>
      <c r="T817" s="25">
        <v>0</v>
      </c>
      <c r="U817" s="24">
        <f>IFERROR(PROPERTIES[[#This Row],[TE_STARTING_KN]]/(PROPERTIES[[#This Row],[WEIGHT]]*9.81),0)</f>
        <v>0</v>
      </c>
      <c r="V817" s="24">
        <v>0.25</v>
      </c>
      <c r="W817" s="21">
        <f>ROUND(IF(IFERROR(PROPERTIES[[#This Row],[TE_COEFFICIENT_CALC]],0)=0,PROPERTIES[[#This Row],[TE_COEFFICIENT_MANUAL]],PROPERTIES[[#This Row],[TE_COEFFICIENT_CALC]]),3)</f>
        <v>0.25</v>
      </c>
      <c r="X817" s="9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1">
        <v>120</v>
      </c>
      <c r="Z817" s="7">
        <v>7</v>
      </c>
      <c r="AA817" t="s">
        <v>243</v>
      </c>
      <c r="AB817" t="s">
        <v>238</v>
      </c>
      <c r="AC817" t="s">
        <v>238</v>
      </c>
      <c r="AD817" s="2" t="s">
        <v>238</v>
      </c>
      <c r="AE817" s="2" t="s">
        <v>253</v>
      </c>
      <c r="AF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7" s="2" t="str">
        <f>SUBSTITUTE(SUBSTITUTE(PROPERTIES[[#This Row],[PURCHASECOST_VALUE]], "PURCHASECOST_", ""), "_VALUE", "")</f>
        <v>METRO</v>
      </c>
      <c r="AI817" s="7" t="str" cm="1">
        <f t="array" ref="AI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7" s="43" t="b">
        <v>0</v>
      </c>
      <c r="AK817" s="8" t="b">
        <v>0</v>
      </c>
      <c r="BA817" s="7"/>
      <c r="BB817" s="8"/>
      <c r="BC817" s="9"/>
      <c r="BD817"/>
    </row>
    <row r="818" spans="1:56">
      <c r="A818" s="2" t="s">
        <v>3364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5" t="str">
        <f>_xlfn.XLOOKUP(PROPERTIES[[#This Row],[VEHIDCODE]],CONTROL[VEHIDCODE],CONTROL[ENGLISH])</f>
        <v>Metro-Cammell London 1959 Stock</v>
      </c>
      <c r="F818" t="s">
        <v>642</v>
      </c>
      <c r="G818" s="45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8">
        <v>27</v>
      </c>
      <c r="R818">
        <v>700</v>
      </c>
      <c r="S818">
        <v>72</v>
      </c>
      <c r="T818" s="25">
        <v>0</v>
      </c>
      <c r="U818" s="24">
        <f>IFERROR(PROPERTIES[[#This Row],[TE_STARTING_KN]]/(PROPERTIES[[#This Row],[WEIGHT]]*9.81),0)</f>
        <v>0</v>
      </c>
      <c r="V818" s="24">
        <v>0.22</v>
      </c>
      <c r="W818" s="21">
        <f>ROUND(IF(IFERROR(PROPERTIES[[#This Row],[TE_COEFFICIENT_CALC]],0)=0,PROPERTIES[[#This Row],[TE_COEFFICIENT_MANUAL]],PROPERTIES[[#This Row],[TE_COEFFICIENT_CALC]]),3)</f>
        <v>0.22</v>
      </c>
      <c r="X818" s="9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1">
        <v>120</v>
      </c>
      <c r="Z818" s="7">
        <v>7</v>
      </c>
      <c r="AA818" t="s">
        <v>243</v>
      </c>
      <c r="AB818" t="s">
        <v>238</v>
      </c>
      <c r="AC818" t="s">
        <v>238</v>
      </c>
      <c r="AD818" s="2" t="s">
        <v>238</v>
      </c>
      <c r="AE818" s="2" t="s">
        <v>253</v>
      </c>
      <c r="AF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8" s="2" t="str">
        <f>SUBSTITUTE(SUBSTITUTE(PROPERTIES[[#This Row],[PURCHASECOST_VALUE]], "PURCHASECOST_", ""), "_VALUE", "")</f>
        <v>METRO</v>
      </c>
      <c r="AI818" s="7" t="str" cm="1">
        <f t="array" ref="AI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8" s="43" t="b">
        <v>0</v>
      </c>
      <c r="AK818" s="8" t="b">
        <v>0</v>
      </c>
      <c r="BA818" s="7"/>
      <c r="BB818" s="8"/>
      <c r="BC818" s="9"/>
      <c r="BD818"/>
    </row>
    <row r="819" spans="1:56">
      <c r="A819" s="2" t="s">
        <v>3365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5" t="str">
        <f>_xlfn.XLOOKUP(PROPERTIES[[#This Row],[VEHIDCODE]],CONTROL[VEHIDCODE],CONTROL[ENGLISH])</f>
        <v>Kawasaki HI C151</v>
      </c>
      <c r="F819" t="s">
        <v>762</v>
      </c>
      <c r="G819" s="45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8">
        <v>35</v>
      </c>
      <c r="R819">
        <v>1000</v>
      </c>
      <c r="S819">
        <v>90</v>
      </c>
      <c r="T819" s="25">
        <v>0</v>
      </c>
      <c r="U819" s="24">
        <f>IFERROR(PROPERTIES[[#This Row],[TE_STARTING_KN]]/(PROPERTIES[[#This Row],[WEIGHT]]*9.81),0)</f>
        <v>0</v>
      </c>
      <c r="V819" s="24">
        <v>0.3</v>
      </c>
      <c r="W819" s="21">
        <f>ROUND(IF(IFERROR(PROPERTIES[[#This Row],[TE_COEFFICIENT_CALC]],0)=0,PROPERTIES[[#This Row],[TE_COEFFICIENT_MANUAL]],PROPERTIES[[#This Row],[TE_COEFFICIENT_CALC]]),3)</f>
        <v>0.3</v>
      </c>
      <c r="X819" s="9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1">
        <v>160</v>
      </c>
      <c r="Z819" s="7">
        <v>8</v>
      </c>
      <c r="AA819" t="s">
        <v>247</v>
      </c>
      <c r="AB819" t="s">
        <v>238</v>
      </c>
      <c r="AC819" t="s">
        <v>238</v>
      </c>
      <c r="AD819" s="2" t="s">
        <v>238</v>
      </c>
      <c r="AE819" s="2" t="s">
        <v>253</v>
      </c>
      <c r="AF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9" s="2" t="str">
        <f>SUBSTITUTE(SUBSTITUTE(PROPERTIES[[#This Row],[PURCHASECOST_VALUE]], "PURCHASECOST_", ""), "_VALUE", "")</f>
        <v>METRO</v>
      </c>
      <c r="AI819" s="7" t="str" cm="1">
        <f t="array" ref="AI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9" s="43" t="b">
        <v>0</v>
      </c>
      <c r="AK819" s="8" t="b">
        <v>0</v>
      </c>
      <c r="BA819" s="7"/>
      <c r="BB819" s="8"/>
      <c r="BC819" s="9"/>
      <c r="BD819"/>
    </row>
    <row r="820" spans="1:56">
      <c r="A820" s="2" t="s">
        <v>3366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5" t="str">
        <f>_xlfn.XLOOKUP(PROPERTIES[[#This Row],[VEHIDCODE]],CONTROL[VEHIDCODE],CONTROL[ENGLISH])</f>
        <v>Kawasaki HI &amp; Nippon Sharyo C751B</v>
      </c>
      <c r="F820" t="s">
        <v>762</v>
      </c>
      <c r="G820" s="45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8">
        <v>35</v>
      </c>
      <c r="R820">
        <v>1000</v>
      </c>
      <c r="S820">
        <v>90</v>
      </c>
      <c r="T820" s="25">
        <v>0</v>
      </c>
      <c r="U820" s="24">
        <f>IFERROR(PROPERTIES[[#This Row],[TE_STARTING_KN]]/(PROPERTIES[[#This Row],[WEIGHT]]*9.81),0)</f>
        <v>0</v>
      </c>
      <c r="V820" s="24">
        <v>0.3</v>
      </c>
      <c r="W820" s="21">
        <f>ROUND(IF(IFERROR(PROPERTIES[[#This Row],[TE_COEFFICIENT_CALC]],0)=0,PROPERTIES[[#This Row],[TE_COEFFICIENT_MANUAL]],PROPERTIES[[#This Row],[TE_COEFFICIENT_CALC]]),3)</f>
        <v>0.3</v>
      </c>
      <c r="X820" s="9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1">
        <v>160</v>
      </c>
      <c r="Z820" s="7">
        <v>8</v>
      </c>
      <c r="AA820" t="s">
        <v>247</v>
      </c>
      <c r="AB820" t="s">
        <v>238</v>
      </c>
      <c r="AC820" t="s">
        <v>238</v>
      </c>
      <c r="AD820" s="2" t="s">
        <v>238</v>
      </c>
      <c r="AE820" s="2" t="s">
        <v>253</v>
      </c>
      <c r="AF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0" s="2" t="str">
        <f>SUBSTITUTE(SUBSTITUTE(PROPERTIES[[#This Row],[PURCHASECOST_VALUE]], "PURCHASECOST_", ""), "_VALUE", "")</f>
        <v>METRO</v>
      </c>
      <c r="AI820" s="7" t="str" cm="1">
        <f t="array" ref="AI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0" s="43" t="b">
        <v>0</v>
      </c>
      <c r="AK820" s="8" t="b">
        <v>0</v>
      </c>
      <c r="BA820" s="7"/>
      <c r="BB820" s="8"/>
      <c r="BC820" s="9"/>
      <c r="BD820"/>
    </row>
    <row r="821" spans="1:56">
      <c r="A821" s="2" t="s">
        <v>3367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5" t="str">
        <f>_xlfn.XLOOKUP(PROPERTIES[[#This Row],[VEHIDCODE]],CONTROL[VEHIDCODE],CONTROL[ENGLISH])</f>
        <v>Comeng Light Metro Prototype</v>
      </c>
      <c r="F821" t="s">
        <v>580</v>
      </c>
      <c r="G821" s="45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8">
        <v>22</v>
      </c>
      <c r="R821">
        <v>500</v>
      </c>
      <c r="S821">
        <v>100</v>
      </c>
      <c r="T821" s="25">
        <v>0</v>
      </c>
      <c r="U821" s="24">
        <f>IFERROR(PROPERTIES[[#This Row],[TE_STARTING_KN]]/(PROPERTIES[[#This Row],[WEIGHT]]*9.81),0)</f>
        <v>0</v>
      </c>
      <c r="V821" s="24">
        <v>0.25</v>
      </c>
      <c r="W821" s="21">
        <f>ROUND(IF(IFERROR(PROPERTIES[[#This Row],[TE_COEFFICIENT_CALC]],0)=0,PROPERTIES[[#This Row],[TE_COEFFICIENT_MANUAL]],PROPERTIES[[#This Row],[TE_COEFFICIENT_CALC]]),3)</f>
        <v>0.25</v>
      </c>
      <c r="X821" s="9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1">
        <v>80</v>
      </c>
      <c r="Z821" s="7">
        <v>8</v>
      </c>
      <c r="AA821" t="s">
        <v>241</v>
      </c>
      <c r="AB821" t="s">
        <v>238</v>
      </c>
      <c r="AC821" t="s">
        <v>238</v>
      </c>
      <c r="AD821" s="2" t="s">
        <v>238</v>
      </c>
      <c r="AE821" s="2" t="s">
        <v>254</v>
      </c>
      <c r="AF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1" s="2" t="str">
        <f>SUBSTITUTE(SUBSTITUTE(PROPERTIES[[#This Row],[PURCHASECOST_VALUE]], "PURCHASECOST_", ""), "_VALUE", "")</f>
        <v>METRO</v>
      </c>
      <c r="AI821" s="7" t="str" cm="1">
        <f t="array" ref="AI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1" s="43" t="b">
        <v>0</v>
      </c>
      <c r="AK821" s="8" t="b">
        <v>0</v>
      </c>
      <c r="BA821" s="7"/>
      <c r="BB821" s="8"/>
      <c r="BC821" s="9"/>
      <c r="BD821"/>
    </row>
    <row r="822" spans="1:56">
      <c r="A822" t="s">
        <v>3368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5" t="str">
        <f>_xlfn.XLOOKUP(PROPERTIES[[#This Row],[VEHIDCODE]],CONTROL[VEHIDCODE],CONTROL[ENGLISH])</f>
        <v>Comeng EMU</v>
      </c>
      <c r="F822" t="s">
        <v>580</v>
      </c>
      <c r="G822" s="45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8">
        <f>INT(141/3)</f>
        <v>47</v>
      </c>
      <c r="R822">
        <v>885</v>
      </c>
      <c r="S822">
        <v>115</v>
      </c>
      <c r="T822" s="25">
        <v>0</v>
      </c>
      <c r="U822" s="25">
        <f>IFERROR(PROPERTIES[[#This Row],[TE_STARTING_KN]]/(PROPERTIES[[#This Row],[WEIGHT]]*9.81),0)</f>
        <v>0</v>
      </c>
      <c r="V822" s="25">
        <v>0.3</v>
      </c>
      <c r="W822" s="21">
        <f>ROUND(IF(IFERROR(PROPERTIES[[#This Row],[TE_COEFFICIENT_CALC]],0)=0,PROPERTIES[[#This Row],[TE_COEFFICIENT_MANUAL]],PROPERTIES[[#This Row],[TE_COEFFICIENT_CALC]]),3)</f>
        <v>0.3</v>
      </c>
      <c r="X822" s="9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1">
        <v>127</v>
      </c>
      <c r="Z822" s="7">
        <v>8</v>
      </c>
      <c r="AA822" t="s">
        <v>241</v>
      </c>
      <c r="AB822" t="s">
        <v>238</v>
      </c>
      <c r="AC822" t="s">
        <v>238</v>
      </c>
      <c r="AD822" s="2" t="s">
        <v>238</v>
      </c>
      <c r="AE822" s="2" t="s">
        <v>253</v>
      </c>
      <c r="AF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2" s="2" t="str">
        <f>SUBSTITUTE(SUBSTITUTE(PROPERTIES[[#This Row],[PURCHASECOST_VALUE]], "PURCHASECOST_", ""), "_VALUE", "")</f>
        <v>EMU</v>
      </c>
      <c r="AI822" s="7" t="str" cm="1">
        <f t="array" ref="AI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2" s="43" t="b">
        <v>0</v>
      </c>
      <c r="AK822" s="8" t="b">
        <v>0</v>
      </c>
      <c r="BA822" s="7"/>
      <c r="BB822" s="8"/>
      <c r="BC822" s="9"/>
      <c r="BD822"/>
    </row>
    <row r="823" spans="1:56">
      <c r="A823" s="2" t="s">
        <v>3369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5" t="str">
        <f>_xlfn.XLOOKUP(PROPERTIES[[#This Row],[VEHIDCODE]],CONTROL[VEHIDCODE],CONTROL[ENGLISH])</f>
        <v>Evolution Rail HCMT Munnel</v>
      </c>
      <c r="F823" t="s">
        <v>580</v>
      </c>
      <c r="G823" s="45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8">
        <v>38</v>
      </c>
      <c r="R823">
        <v>1500</v>
      </c>
      <c r="S823">
        <v>130</v>
      </c>
      <c r="T823" s="25">
        <v>0</v>
      </c>
      <c r="U823" s="25">
        <f>IFERROR(PROPERTIES[[#This Row],[TE_STARTING_KN]]/(PROPERTIES[[#This Row],[WEIGHT]]*9.81),0)</f>
        <v>0</v>
      </c>
      <c r="V823" s="25">
        <v>0.3</v>
      </c>
      <c r="W823" s="21">
        <f>ROUND(IF(IFERROR(PROPERTIES[[#This Row],[TE_COEFFICIENT_CALC]],0)=0,PROPERTIES[[#This Row],[TE_COEFFICIENT_MANUAL]],PROPERTIES[[#This Row],[TE_COEFFICIENT_CALC]]),3)</f>
        <v>0.3</v>
      </c>
      <c r="X823" s="9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1">
        <v>160</v>
      </c>
      <c r="Z823" s="7">
        <v>8</v>
      </c>
      <c r="AA823" t="s">
        <v>241</v>
      </c>
      <c r="AB823" t="s">
        <v>238</v>
      </c>
      <c r="AC823" t="s">
        <v>238</v>
      </c>
      <c r="AD823" s="2" t="s">
        <v>238</v>
      </c>
      <c r="AE823" s="2" t="s">
        <v>253</v>
      </c>
      <c r="AF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3" s="2" t="str">
        <f>SUBSTITUTE(SUBSTITUTE(PROPERTIES[[#This Row],[PURCHASECOST_VALUE]], "PURCHASECOST_", ""), "_VALUE", "")</f>
        <v>EMU</v>
      </c>
      <c r="AI823" s="7" t="str" cm="1">
        <f t="array" ref="AI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3" s="43" t="b">
        <v>0</v>
      </c>
      <c r="AK823" s="8" t="b">
        <v>0</v>
      </c>
      <c r="BA823" s="7"/>
      <c r="BB823" s="8"/>
      <c r="BC823" s="9"/>
      <c r="BD823"/>
    </row>
    <row r="824" spans="1:56">
      <c r="A824" s="2" t="s">
        <v>3370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5" t="str">
        <f>_xlfn.XLOOKUP(PROPERTIES[[#This Row],[VEHIDCODE]],CONTROL[VEHIDCODE],CONTROL[ENGLISH])</f>
        <v>LTZ DR 130</v>
      </c>
      <c r="F824" t="s">
        <v>623</v>
      </c>
      <c r="G824" s="45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8">
        <v>116</v>
      </c>
      <c r="R824">
        <f>INT(2206*1.3)</f>
        <v>2867</v>
      </c>
      <c r="S824">
        <v>140</v>
      </c>
      <c r="T824" s="25">
        <v>265</v>
      </c>
      <c r="U824" s="24">
        <f>IFERROR(PROPERTIES[[#This Row],[TE_STARTING_KN]]/(PROPERTIES[[#This Row],[WEIGHT]]*9.81),0)</f>
        <v>0.23287286020598263</v>
      </c>
      <c r="V824" s="24">
        <v>0</v>
      </c>
      <c r="W824" s="21">
        <f>ROUND(IF(IFERROR(PROPERTIES[[#This Row],[TE_COEFFICIENT_CALC]],0)=0,PROPERTIES[[#This Row],[TE_COEFFICIENT_MANUAL]],PROPERTIES[[#This Row],[TE_COEFFICIENT_CALC]]),3)</f>
        <v>0.23300000000000001</v>
      </c>
      <c r="X824" s="9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1">
        <v>0</v>
      </c>
      <c r="Z824" s="7">
        <v>0</v>
      </c>
      <c r="AA824" t="s">
        <v>239</v>
      </c>
      <c r="AB824" t="s">
        <v>2013</v>
      </c>
      <c r="AC824" t="s">
        <v>238</v>
      </c>
      <c r="AD824" s="2" t="s">
        <v>238</v>
      </c>
      <c r="AE824" s="2" t="s">
        <v>253</v>
      </c>
      <c r="AF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4" s="2" t="str">
        <f>SUBSTITUTE(SUBSTITUTE(PROPERTIES[[#This Row],[PURCHASECOST_VALUE]], "PURCHASECOST_", ""), "_VALUE", "")</f>
        <v>DIESELENGINE</v>
      </c>
      <c r="AI824" s="7" t="str" cm="1">
        <f t="array" ref="AI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24" s="43" t="b">
        <v>0</v>
      </c>
      <c r="AK824" s="8" t="b">
        <v>1</v>
      </c>
      <c r="BA824" s="7"/>
      <c r="BB824" s="8"/>
      <c r="BC824" s="9"/>
      <c r="BD824"/>
    </row>
    <row r="825" spans="1:56">
      <c r="A825" t="s">
        <v>3371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5" t="str">
        <f>_xlfn.XLOOKUP(PROPERTIES[[#This Row],[VEHIDCODE]],CONTROL[VEHIDCODE],CONTROL[ENGLISH])</f>
        <v>GE AC6044CW</v>
      </c>
      <c r="F825" t="s">
        <v>796</v>
      </c>
      <c r="G825" s="45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8">
        <v>196</v>
      </c>
      <c r="R825">
        <v>6000</v>
      </c>
      <c r="S825">
        <v>120</v>
      </c>
      <c r="T825" s="25">
        <v>840</v>
      </c>
      <c r="U825" s="25">
        <f>IFERROR(PROPERTIES[[#This Row],[TE_STARTING_KN]]/(PROPERTIES[[#This Row],[WEIGHT]]*9.81),0)</f>
        <v>0.43687199650502401</v>
      </c>
      <c r="V825" s="25">
        <v>0</v>
      </c>
      <c r="W825" s="21">
        <f>ROUND(IF(IFERROR(PROPERTIES[[#This Row],[TE_COEFFICIENT_CALC]],0)=0,PROPERTIES[[#This Row],[TE_COEFFICIENT_MANUAL]],PROPERTIES[[#This Row],[TE_COEFFICIENT_CALC]]),3)</f>
        <v>0.437</v>
      </c>
      <c r="X825" s="9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1">
        <v>0</v>
      </c>
      <c r="Z825" s="7">
        <v>1</v>
      </c>
      <c r="AA825" t="s">
        <v>249</v>
      </c>
      <c r="AB825" t="s">
        <v>241</v>
      </c>
      <c r="AC825" t="s">
        <v>238</v>
      </c>
      <c r="AD825" s="2" t="s">
        <v>238</v>
      </c>
      <c r="AE825" s="2" t="s">
        <v>253</v>
      </c>
      <c r="AF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5" s="2" t="str">
        <f>SUBSTITUTE(SUBSTITUTE(PROPERTIES[[#This Row],[PURCHASECOST_VALUE]], "PURCHASECOST_", ""), "_VALUE", "")</f>
        <v>DIESELENGINE</v>
      </c>
      <c r="AI825" s="7" t="str" cm="1">
        <f t="array" ref="AI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5" s="43" t="b">
        <v>0</v>
      </c>
      <c r="AK825" s="8" t="b">
        <v>1</v>
      </c>
      <c r="BA825" s="7"/>
      <c r="BB825" s="8"/>
      <c r="BC825" s="9"/>
      <c r="BD825"/>
    </row>
    <row r="826" spans="1:56">
      <c r="A826" s="2" t="s">
        <v>3695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5" t="str">
        <f>_xlfn.XLOOKUP(PROPERTIES[[#This Row],[VEHIDCODE]],CONTROL[VEHIDCODE],CONTROL[ENGLISH])</f>
        <v>GE AC6000CW</v>
      </c>
      <c r="F826" t="s">
        <v>796</v>
      </c>
      <c r="G826" s="45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8">
        <v>196</v>
      </c>
      <c r="R826">
        <v>6000</v>
      </c>
      <c r="S826">
        <v>120</v>
      </c>
      <c r="T826" s="25">
        <v>840</v>
      </c>
      <c r="U826" s="25">
        <f>IFERROR(PROPERTIES[[#This Row],[TE_STARTING_KN]]/(PROPERTIES[[#This Row],[WEIGHT]]*9.81),0)</f>
        <v>0.43687199650502401</v>
      </c>
      <c r="V826" s="25">
        <v>0</v>
      </c>
      <c r="W826" s="21">
        <f>ROUND(IF(IFERROR(PROPERTIES[[#This Row],[TE_COEFFICIENT_CALC]],0)=0,PROPERTIES[[#This Row],[TE_COEFFICIENT_MANUAL]],PROPERTIES[[#This Row],[TE_COEFFICIENT_CALC]]),3)</f>
        <v>0.437</v>
      </c>
      <c r="X826" s="9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1">
        <v>0</v>
      </c>
      <c r="Z826" s="7">
        <v>1</v>
      </c>
      <c r="AA826" t="s">
        <v>249</v>
      </c>
      <c r="AB826" t="s">
        <v>241</v>
      </c>
      <c r="AC826" t="s">
        <v>238</v>
      </c>
      <c r="AD826" s="2" t="s">
        <v>238</v>
      </c>
      <c r="AE826" s="2" t="s">
        <v>253</v>
      </c>
      <c r="AF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6" s="2" t="str">
        <f>SUBSTITUTE(SUBSTITUTE(PROPERTIES[[#This Row],[PURCHASECOST_VALUE]], "PURCHASECOST_", ""), "_VALUE", "")</f>
        <v>DIESELENGINE</v>
      </c>
      <c r="AI826" s="7" t="str" cm="1">
        <f t="array" ref="AI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6" s="43" t="b">
        <v>0</v>
      </c>
      <c r="AK826" s="8" t="b">
        <v>0</v>
      </c>
      <c r="BA826" s="7"/>
      <c r="BB826" s="8"/>
      <c r="BC826" s="9"/>
      <c r="BD826"/>
    </row>
    <row r="827" spans="1:56">
      <c r="A827" s="2" t="s">
        <v>3372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5" t="str">
        <f>_xlfn.XLOOKUP(PROPERTIES[[#This Row],[VEHIDCODE]],CONTROL[VEHIDCODE],CONTROL[ENGLISH])</f>
        <v>Robert Stephenson and Co 2-2-2 192</v>
      </c>
      <c r="F827" t="s">
        <v>631</v>
      </c>
      <c r="G827" s="45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8">
        <v>60</v>
      </c>
      <c r="R827">
        <v>495</v>
      </c>
      <c r="S827">
        <v>95</v>
      </c>
      <c r="T827" s="25">
        <v>33</v>
      </c>
      <c r="U827" s="24">
        <f>IFERROR(PROPERTIES[[#This Row],[TE_STARTING_KN]]/(PROPERTIES[[#This Row],[WEIGHT]]*9.81),0)</f>
        <v>5.6065239551478081E-2</v>
      </c>
      <c r="V827" s="24">
        <v>0</v>
      </c>
      <c r="W827" s="21">
        <f>ROUND(IF(IFERROR(PROPERTIES[[#This Row],[TE_COEFFICIENT_CALC]],0)=0,PROPERTIES[[#This Row],[TE_COEFFICIENT_MANUAL]],PROPERTIES[[#This Row],[TE_COEFFICIENT_CALC]]),3)</f>
        <v>5.6000000000000001E-2</v>
      </c>
      <c r="X827" s="9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1">
        <v>0</v>
      </c>
      <c r="Z827" s="7">
        <v>3</v>
      </c>
      <c r="AA827" t="s">
        <v>242</v>
      </c>
      <c r="AB827" t="s">
        <v>238</v>
      </c>
      <c r="AC827" t="s">
        <v>238</v>
      </c>
      <c r="AD827" s="2" t="s">
        <v>238</v>
      </c>
      <c r="AE827" s="2" t="s">
        <v>253</v>
      </c>
      <c r="AF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7" s="2" t="str">
        <f>SUBSTITUTE(SUBSTITUTE(PROPERTIES[[#This Row],[PURCHASECOST_VALUE]], "PURCHASECOST_", ""), "_VALUE", "")</f>
        <v>STEAMENGINE</v>
      </c>
      <c r="AI827" s="7" t="str" cm="1">
        <f t="array" ref="AI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7" s="43" t="b">
        <v>0</v>
      </c>
      <c r="AK827" s="8" t="b">
        <v>0</v>
      </c>
      <c r="BA827" s="7"/>
      <c r="BB827" s="8"/>
      <c r="BC827" s="9"/>
      <c r="BD827"/>
    </row>
    <row r="828" spans="1:56">
      <c r="A828" s="2" t="s">
        <v>3373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5" t="str">
        <f>_xlfn.XLOOKUP(PROPERTIES[[#This Row],[VEHIDCODE]],CONTROL[VEHIDCODE],CONTROL[ENGLISH])</f>
        <v>Comeng/MK Hitachi Trains</v>
      </c>
      <c r="F828" t="s">
        <v>580</v>
      </c>
      <c r="G828" s="45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8">
        <v>40</v>
      </c>
      <c r="R828">
        <v>2400</v>
      </c>
      <c r="S828">
        <v>116</v>
      </c>
      <c r="T828" s="25">
        <v>0</v>
      </c>
      <c r="U828" s="25">
        <f>IFERROR(PROPERTIES[[#This Row],[TE_STARTING_KN]]/(PROPERTIES[[#This Row],[WEIGHT]]*9.81),0)</f>
        <v>0</v>
      </c>
      <c r="V828" s="25">
        <v>0.3</v>
      </c>
      <c r="W828" s="21">
        <f>ROUND(IF(IFERROR(PROPERTIES[[#This Row],[TE_COEFFICIENT_CALC]],0)=0,PROPERTIES[[#This Row],[TE_COEFFICIENT_MANUAL]],PROPERTIES[[#This Row],[TE_COEFFICIENT_CALC]]),3)</f>
        <v>0.3</v>
      </c>
      <c r="X828" s="9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1">
        <v>160</v>
      </c>
      <c r="Z828" s="7">
        <v>8</v>
      </c>
      <c r="AA828" t="s">
        <v>241</v>
      </c>
      <c r="AB828" t="s">
        <v>238</v>
      </c>
      <c r="AC828" t="s">
        <v>238</v>
      </c>
      <c r="AD828" s="2" t="s">
        <v>238</v>
      </c>
      <c r="AE828" s="2" t="s">
        <v>253</v>
      </c>
      <c r="AF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8" s="2" t="str">
        <f>SUBSTITUTE(SUBSTITUTE(PROPERTIES[[#This Row],[PURCHASECOST_VALUE]], "PURCHASECOST_", ""), "_VALUE", "")</f>
        <v>EMU</v>
      </c>
      <c r="AI828" s="7" t="str" cm="1">
        <f t="array" ref="AI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8" s="43" t="b">
        <v>0</v>
      </c>
      <c r="AK828" s="8" t="b">
        <v>0</v>
      </c>
      <c r="BA828" s="7"/>
      <c r="BB828" s="8"/>
      <c r="BC828" s="9"/>
      <c r="BD828"/>
    </row>
    <row r="829" spans="1:56">
      <c r="A829" s="2" t="s">
        <v>3374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5" t="str">
        <f>_xlfn.XLOOKUP(PROPERTIES[[#This Row],[VEHIDCODE]],CONTROL[VEHIDCODE],CONTROL[ENGLISH])</f>
        <v>GRC&amp;W Harris Trains</v>
      </c>
      <c r="F829" t="s">
        <v>580</v>
      </c>
      <c r="G829" s="45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8">
        <v>46</v>
      </c>
      <c r="R829">
        <v>808</v>
      </c>
      <c r="S829">
        <v>113</v>
      </c>
      <c r="T829" s="25">
        <v>0</v>
      </c>
      <c r="U829" s="25">
        <f>IFERROR(PROPERTIES[[#This Row],[TE_STARTING_KN]]/(PROPERTIES[[#This Row],[WEIGHT]]*9.81),0)</f>
        <v>0</v>
      </c>
      <c r="V829" s="25">
        <v>0.3</v>
      </c>
      <c r="W829" s="21">
        <f>ROUND(IF(IFERROR(PROPERTIES[[#This Row],[TE_COEFFICIENT_CALC]],0)=0,PROPERTIES[[#This Row],[TE_COEFFICIENT_MANUAL]],PROPERTIES[[#This Row],[TE_COEFFICIENT_CALC]]),3)</f>
        <v>0.3</v>
      </c>
      <c r="X829" s="9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1">
        <v>100</v>
      </c>
      <c r="Z829" s="7">
        <v>8</v>
      </c>
      <c r="AA829" t="s">
        <v>241</v>
      </c>
      <c r="AB829" t="s">
        <v>238</v>
      </c>
      <c r="AC829" t="s">
        <v>238</v>
      </c>
      <c r="AD829" s="2" t="s">
        <v>238</v>
      </c>
      <c r="AE829" s="2" t="s">
        <v>253</v>
      </c>
      <c r="AF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9" s="2" t="str">
        <f>SUBSTITUTE(SUBSTITUTE(PROPERTIES[[#This Row],[PURCHASECOST_VALUE]], "PURCHASECOST_", ""), "_VALUE", "")</f>
        <v>EMU</v>
      </c>
      <c r="AI829" s="7" t="str" cm="1">
        <f t="array" ref="AI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9" s="43" t="b">
        <v>0</v>
      </c>
      <c r="AK829" s="8" t="b">
        <v>0</v>
      </c>
      <c r="BA829" s="7"/>
      <c r="BB829" s="8"/>
      <c r="BC829" s="9"/>
      <c r="BD829"/>
    </row>
    <row r="830" spans="1:56">
      <c r="A830" s="2" t="s">
        <v>3375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5" t="str">
        <f>_xlfn.XLOOKUP(PROPERTIES[[#This Row],[VEHIDCODE]],CONTROL[VEHIDCODE],CONTROL[ENGLISH])</f>
        <v>Siemens Nexas</v>
      </c>
      <c r="F830" t="s">
        <v>580</v>
      </c>
      <c r="G830" s="45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8">
        <v>40</v>
      </c>
      <c r="R830">
        <v>1286</v>
      </c>
      <c r="S830">
        <v>145</v>
      </c>
      <c r="T830" s="25">
        <v>0</v>
      </c>
      <c r="U830" s="25">
        <f>IFERROR(PROPERTIES[[#This Row],[TE_STARTING_KN]]/(PROPERTIES[[#This Row],[WEIGHT]]*9.81),0)</f>
        <v>0</v>
      </c>
      <c r="V830" s="25">
        <v>0.3</v>
      </c>
      <c r="W830" s="21">
        <f>ROUND(IF(IFERROR(PROPERTIES[[#This Row],[TE_COEFFICIENT_CALC]],0)=0,PROPERTIES[[#This Row],[TE_COEFFICIENT_MANUAL]],PROPERTIES[[#This Row],[TE_COEFFICIENT_CALC]]),3)</f>
        <v>0.3</v>
      </c>
      <c r="X830" s="9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1">
        <v>140</v>
      </c>
      <c r="Z830" s="7">
        <v>8</v>
      </c>
      <c r="AA830" t="s">
        <v>241</v>
      </c>
      <c r="AB830" t="s">
        <v>238</v>
      </c>
      <c r="AC830" t="s">
        <v>238</v>
      </c>
      <c r="AD830" s="2" t="s">
        <v>238</v>
      </c>
      <c r="AE830" s="2" t="s">
        <v>253</v>
      </c>
      <c r="AF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0" s="2" t="str">
        <f>SUBSTITUTE(SUBSTITUTE(PROPERTIES[[#This Row],[PURCHASECOST_VALUE]], "PURCHASECOST_", ""), "_VALUE", "")</f>
        <v>EMU</v>
      </c>
      <c r="AI830" s="7" t="str" cm="1">
        <f t="array" ref="AI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0" s="43" t="b">
        <v>0</v>
      </c>
      <c r="AK830" s="8" t="b">
        <v>0</v>
      </c>
      <c r="BA830" s="7"/>
      <c r="BB830" s="8"/>
      <c r="BC830" s="9"/>
      <c r="BD830"/>
    </row>
    <row r="831" spans="1:56">
      <c r="A831" s="2" t="s">
        <v>3376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5" t="str">
        <f>_xlfn.XLOOKUP(PROPERTIES[[#This Row],[VEHIDCODE]],CONTROL[VEHIDCODE],CONTROL[ENGLISH])</f>
        <v>Victorian Railways Tait Trains</v>
      </c>
      <c r="F831" t="s">
        <v>580</v>
      </c>
      <c r="G831" s="45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8">
        <v>35</v>
      </c>
      <c r="R831">
        <v>282</v>
      </c>
      <c r="S831">
        <v>80</v>
      </c>
      <c r="T831" s="25">
        <v>0</v>
      </c>
      <c r="U831" s="25">
        <f>IFERROR(PROPERTIES[[#This Row],[TE_STARTING_KN]]/(PROPERTIES[[#This Row],[WEIGHT]]*9.81),0)</f>
        <v>0</v>
      </c>
      <c r="V831" s="25">
        <v>0.2</v>
      </c>
      <c r="W831" s="21">
        <f>ROUND(IF(IFERROR(PROPERTIES[[#This Row],[TE_COEFFICIENT_CALC]],0)=0,PROPERTIES[[#This Row],[TE_COEFFICIENT_MANUAL]],PROPERTIES[[#This Row],[TE_COEFFICIENT_CALC]]),3)</f>
        <v>0.2</v>
      </c>
      <c r="X831" s="9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1">
        <v>72</v>
      </c>
      <c r="Z831" s="7">
        <v>8</v>
      </c>
      <c r="AA831" t="s">
        <v>241</v>
      </c>
      <c r="AB831" t="s">
        <v>238</v>
      </c>
      <c r="AC831" t="s">
        <v>238</v>
      </c>
      <c r="AD831" s="2" t="s">
        <v>238</v>
      </c>
      <c r="AE831" s="2" t="s">
        <v>253</v>
      </c>
      <c r="AF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1" s="2" t="str">
        <f>SUBSTITUTE(SUBSTITUTE(PROPERTIES[[#This Row],[PURCHASECOST_VALUE]], "PURCHASECOST_", ""), "_VALUE", "")</f>
        <v>EMU</v>
      </c>
      <c r="AI831" s="7" t="str" cm="1">
        <f t="array" ref="AI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1" s="43" t="b">
        <v>0</v>
      </c>
      <c r="AK831" s="8" t="b">
        <v>0</v>
      </c>
      <c r="BA831" s="7"/>
      <c r="BB831" s="8"/>
      <c r="BC831" s="9"/>
      <c r="BD831"/>
    </row>
    <row r="832" spans="1:56">
      <c r="A832" s="2" t="s">
        <v>3377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5" t="str">
        <f>_xlfn.XLOOKUP(PROPERTIES[[#This Row],[VEHIDCODE]],CONTROL[VEHIDCODE],CONTROL[ENGLISH])</f>
        <v>ABB Henschel Berlin BVG F74</v>
      </c>
      <c r="F832" t="s">
        <v>623</v>
      </c>
      <c r="G832" s="45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8">
        <v>38</v>
      </c>
      <c r="R832">
        <f>540*1.3</f>
        <v>702</v>
      </c>
      <c r="S832">
        <v>72</v>
      </c>
      <c r="T832" s="25">
        <v>0</v>
      </c>
      <c r="U832" s="24">
        <f>IFERROR(PROPERTIES[[#This Row],[TE_STARTING_KN]]/(PROPERTIES[[#This Row],[WEIGHT]]*9.81),0)</f>
        <v>0</v>
      </c>
      <c r="V832" s="24">
        <v>0.25</v>
      </c>
      <c r="W832" s="21">
        <f>ROUND(IF(IFERROR(PROPERTIES[[#This Row],[TE_COEFFICIENT_CALC]],0)=0,PROPERTIES[[#This Row],[TE_COEFFICIENT_MANUAL]],PROPERTIES[[#This Row],[TE_COEFFICIENT_CALC]]),3)</f>
        <v>0.25</v>
      </c>
      <c r="X832" s="9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1">
        <v>117</v>
      </c>
      <c r="Z832" s="7">
        <v>8</v>
      </c>
      <c r="AA832" t="s">
        <v>239</v>
      </c>
      <c r="AB832" t="s">
        <v>238</v>
      </c>
      <c r="AC832" t="s">
        <v>238</v>
      </c>
      <c r="AD832" s="2" t="s">
        <v>238</v>
      </c>
      <c r="AE832" s="2" t="s">
        <v>253</v>
      </c>
      <c r="AF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2" s="2" t="str">
        <f>SUBSTITUTE(SUBSTITUTE(PROPERTIES[[#This Row],[PURCHASECOST_VALUE]], "PURCHASECOST_", ""), "_VALUE", "")</f>
        <v>METRO</v>
      </c>
      <c r="AI832" s="7" t="str" cm="1">
        <f t="array" ref="AI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2" s="43" t="b">
        <v>0</v>
      </c>
      <c r="AK832" s="8" t="b">
        <v>0</v>
      </c>
      <c r="BA832" s="7"/>
      <c r="BB832" s="8"/>
      <c r="BC832" s="9"/>
      <c r="BD832"/>
    </row>
    <row r="833" spans="1:56">
      <c r="A833" s="2" t="s">
        <v>3378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5" t="str">
        <f>_xlfn.XLOOKUP(PROPERTIES[[#This Row],[VEHIDCODE]],CONTROL[VEHIDCODE],CONTROL[ENGLISH])</f>
        <v>Adtranz Berlin BVG H</v>
      </c>
      <c r="F833" t="s">
        <v>623</v>
      </c>
      <c r="G833" s="45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8">
        <f>INT(228/6)</f>
        <v>38</v>
      </c>
      <c r="R833">
        <v>2900</v>
      </c>
      <c r="S833">
        <v>80</v>
      </c>
      <c r="T833" s="25">
        <v>0</v>
      </c>
      <c r="U833" s="25">
        <f>IFERROR(PROPERTIES[[#This Row],[TE_STARTING_KN]]/(PROPERTIES[[#This Row],[WEIGHT]]*9.81),0)</f>
        <v>0</v>
      </c>
      <c r="V833" s="25">
        <v>0.3</v>
      </c>
      <c r="W833" s="21">
        <f>ROUND(IF(IFERROR(PROPERTIES[[#This Row],[TE_COEFFICIENT_CALC]],0)=0,PROPERTIES[[#This Row],[TE_COEFFICIENT_MANUAL]],PROPERTIES[[#This Row],[TE_COEFFICIENT_CALC]]),3)</f>
        <v>0.3</v>
      </c>
      <c r="X833" s="32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0">
        <f>INT((168+580)/6)</f>
        <v>124</v>
      </c>
      <c r="Z833" s="7">
        <v>8</v>
      </c>
      <c r="AA833" t="s">
        <v>239</v>
      </c>
      <c r="AB833" t="s">
        <v>238</v>
      </c>
      <c r="AC833" t="s">
        <v>238</v>
      </c>
      <c r="AD833" s="2" t="s">
        <v>238</v>
      </c>
      <c r="AE833" s="2" t="s">
        <v>253</v>
      </c>
      <c r="AF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3" s="2" t="str">
        <f>SUBSTITUTE(SUBSTITUTE(PROPERTIES[[#This Row],[PURCHASECOST_VALUE]], "PURCHASECOST_", ""), "_VALUE", "")</f>
        <v>METRO</v>
      </c>
      <c r="AI833" s="7" t="str" cm="1">
        <f t="array" ref="AI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3" s="43" t="b">
        <v>0</v>
      </c>
      <c r="AK833" s="8" t="b">
        <v>0</v>
      </c>
      <c r="BA833" s="7"/>
      <c r="BB833" s="8"/>
      <c r="BC833" s="9"/>
      <c r="BD833"/>
    </row>
    <row r="834" spans="1:56">
      <c r="A834" s="2" t="s">
        <v>3379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5" t="str">
        <f>_xlfn.XLOOKUP(PROPERTIES[[#This Row],[VEHIDCODE]],CONTROL[VEHIDCODE],CONTROL[ENGLISH])</f>
        <v>LB&amp;SCR BRW 0-6-0T 'A1'</v>
      </c>
      <c r="F834" t="s">
        <v>642</v>
      </c>
      <c r="G834" s="45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8">
        <v>28</v>
      </c>
      <c r="R834">
        <v>250</v>
      </c>
      <c r="S834">
        <v>70</v>
      </c>
      <c r="T834" s="25">
        <v>34</v>
      </c>
      <c r="U834" s="25">
        <f>IFERROR(PROPERTIES[[#This Row],[TE_STARTING_KN]]/(PROPERTIES[[#This Row],[WEIGHT]]*9.81),0)</f>
        <v>0.12378039900975681</v>
      </c>
      <c r="V834" s="25">
        <v>0</v>
      </c>
      <c r="W834" s="21">
        <f>ROUND(IF(IFERROR(PROPERTIES[[#This Row],[TE_COEFFICIENT_CALC]],0)=0,PROPERTIES[[#This Row],[TE_COEFFICIENT_MANUAL]],PROPERTIES[[#This Row],[TE_COEFFICIENT_CALC]]),3)</f>
        <v>0.124</v>
      </c>
      <c r="X834" s="32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1">
        <v>0</v>
      </c>
      <c r="Z834" s="7">
        <v>0</v>
      </c>
      <c r="AA834" t="s">
        <v>243</v>
      </c>
      <c r="AB834" t="s">
        <v>241</v>
      </c>
      <c r="AC834" t="s">
        <v>238</v>
      </c>
      <c r="AD834" s="2" t="s">
        <v>238</v>
      </c>
      <c r="AE834" s="2" t="s">
        <v>253</v>
      </c>
      <c r="AF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4" s="2" t="str">
        <f>SUBSTITUTE(SUBSTITUTE(PROPERTIES[[#This Row],[PURCHASECOST_VALUE]], "PURCHASECOST_", ""), "_VALUE", "")</f>
        <v>STEAMENGINE</v>
      </c>
      <c r="AI834" s="7" t="str" cm="1">
        <f t="array" ref="AI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4" s="43" t="b">
        <v>0</v>
      </c>
      <c r="AK834" s="8" t="b">
        <v>0</v>
      </c>
      <c r="BA834" s="7"/>
      <c r="BB834" s="8"/>
      <c r="BC834" s="9"/>
      <c r="BD834"/>
    </row>
    <row r="835" spans="1:56">
      <c r="A835" s="2" t="s">
        <v>3380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5" t="str">
        <f>_xlfn.XLOOKUP(PROPERTIES[[#This Row],[VEHIDCODE]],CONTROL[VEHIDCODE],CONTROL[ENGLISH])</f>
        <v>BP 4-6-4T 4444-4478 'C30'</v>
      </c>
      <c r="F835" t="s">
        <v>580</v>
      </c>
      <c r="G835" s="45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8">
        <v>43</v>
      </c>
      <c r="R835">
        <v>700</v>
      </c>
      <c r="S835">
        <v>80</v>
      </c>
      <c r="T835" s="25">
        <v>95</v>
      </c>
      <c r="U835" s="25">
        <f>IFERROR(PROPERTIES[[#This Row],[TE_STARTING_KN]]/(PROPERTIES[[#This Row],[WEIGHT]]*9.81),0)</f>
        <v>0.2252092075006519</v>
      </c>
      <c r="V835" s="25">
        <v>0</v>
      </c>
      <c r="W835" s="21">
        <f>ROUND(IF(IFERROR(PROPERTIES[[#This Row],[TE_COEFFICIENT_CALC]],0)=0,PROPERTIES[[#This Row],[TE_COEFFICIENT_MANUAL]],PROPERTIES[[#This Row],[TE_COEFFICIENT_CALC]]),3)</f>
        <v>0.22500000000000001</v>
      </c>
      <c r="X835" s="32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1">
        <v>0</v>
      </c>
      <c r="Z835" s="7">
        <v>0</v>
      </c>
      <c r="AA835" t="s">
        <v>241</v>
      </c>
      <c r="AB835" t="s">
        <v>238</v>
      </c>
      <c r="AC835" t="s">
        <v>238</v>
      </c>
      <c r="AD835" s="2" t="s">
        <v>238</v>
      </c>
      <c r="AE835" s="2" t="s">
        <v>253</v>
      </c>
      <c r="AF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5" s="2" t="str">
        <f>SUBSTITUTE(SUBSTITUTE(PROPERTIES[[#This Row],[PURCHASECOST_VALUE]], "PURCHASECOST_", ""), "_VALUE", "")</f>
        <v>STEAMENGINE</v>
      </c>
      <c r="AI835" s="7" t="str" cm="1">
        <f t="array" ref="AI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5" s="43" t="b">
        <v>0</v>
      </c>
      <c r="AK835" s="8" t="b">
        <v>0</v>
      </c>
      <c r="BA835" s="7"/>
      <c r="BB835" s="8"/>
      <c r="BC835" s="9"/>
      <c r="BD835"/>
    </row>
    <row r="836" spans="1:56">
      <c r="A836" s="2" t="s">
        <v>3381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5" t="str">
        <f>_xlfn.XLOOKUP(PROPERTIES[[#This Row],[VEHIDCODE]],CONTROL[VEHIDCODE],CONTROL[ENGLISH])</f>
        <v>BP/Baldwin/Clyde 4-6-0 'C32'</v>
      </c>
      <c r="F836" t="s">
        <v>580</v>
      </c>
      <c r="G836" s="45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8">
        <v>64</v>
      </c>
      <c r="R836">
        <v>720</v>
      </c>
      <c r="S836">
        <v>100</v>
      </c>
      <c r="T836" s="25">
        <v>115</v>
      </c>
      <c r="U836" s="25">
        <f>IFERROR(PROPERTIES[[#This Row],[TE_STARTING_KN]]/(PROPERTIES[[#This Row],[WEIGHT]]*9.81),0)</f>
        <v>0.18316768603465849</v>
      </c>
      <c r="V836" s="25">
        <v>0</v>
      </c>
      <c r="W836" s="21">
        <f>ROUND(IF(IFERROR(PROPERTIES[[#This Row],[TE_COEFFICIENT_CALC]],0)=0,PROPERTIES[[#This Row],[TE_COEFFICIENT_MANUAL]],PROPERTIES[[#This Row],[TE_COEFFICIENT_CALC]]),3)</f>
        <v>0.183</v>
      </c>
      <c r="X836" s="32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1">
        <v>0</v>
      </c>
      <c r="Z836" s="7">
        <v>4</v>
      </c>
      <c r="AA836" t="s">
        <v>241</v>
      </c>
      <c r="AB836" t="s">
        <v>238</v>
      </c>
      <c r="AC836" t="s">
        <v>238</v>
      </c>
      <c r="AD836" s="2" t="s">
        <v>238</v>
      </c>
      <c r="AE836" s="2" t="s">
        <v>253</v>
      </c>
      <c r="AF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6" s="2" t="str">
        <f>SUBSTITUTE(SUBSTITUTE(PROPERTIES[[#This Row],[PURCHASECOST_VALUE]], "PURCHASECOST_", ""), "_VALUE", "")</f>
        <v>STEAMENGINE</v>
      </c>
      <c r="AI836" s="7" t="str" cm="1">
        <f t="array" ref="AI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6" s="43" t="b">
        <v>0</v>
      </c>
      <c r="AK836" s="8" t="b">
        <v>0</v>
      </c>
      <c r="BA836" s="7"/>
      <c r="BB836" s="8"/>
      <c r="BC836" s="9"/>
      <c r="BD836"/>
    </row>
    <row r="837" spans="1:56">
      <c r="A837" s="2" t="s">
        <v>3382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5" t="str">
        <f>_xlfn.XLOOKUP(PROPERTIES[[#This Row],[VEHIDCODE]],CONTROL[VEHIDCODE],CONTROL[ENGLISH])</f>
        <v>BP/NBLC 2-8-0 'D50'</v>
      </c>
      <c r="F837" t="s">
        <v>580</v>
      </c>
      <c r="G837" s="45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8">
        <v>63</v>
      </c>
      <c r="R837">
        <v>1050</v>
      </c>
      <c r="S837">
        <v>65</v>
      </c>
      <c r="T837" s="25">
        <v>136</v>
      </c>
      <c r="U837" s="25">
        <f>IFERROR(PROPERTIES[[#This Row],[TE_STARTING_KN]]/(PROPERTIES[[#This Row],[WEIGHT]]*9.81),0)</f>
        <v>0.22005404268401207</v>
      </c>
      <c r="V837" s="25">
        <v>0</v>
      </c>
      <c r="W837" s="21">
        <f>ROUND(IF(IFERROR(PROPERTIES[[#This Row],[TE_COEFFICIENT_CALC]],0)=0,PROPERTIES[[#This Row],[TE_COEFFICIENT_MANUAL]],PROPERTIES[[#This Row],[TE_COEFFICIENT_CALC]]),3)</f>
        <v>0.22</v>
      </c>
      <c r="X837" s="32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1">
        <v>0</v>
      </c>
      <c r="Z837" s="7">
        <v>4</v>
      </c>
      <c r="AA837" t="s">
        <v>241</v>
      </c>
      <c r="AB837" t="s">
        <v>238</v>
      </c>
      <c r="AC837" t="s">
        <v>238</v>
      </c>
      <c r="AD837" s="2" t="s">
        <v>238</v>
      </c>
      <c r="AE837" s="2" t="s">
        <v>253</v>
      </c>
      <c r="AF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7" s="2" t="str">
        <f>SUBSTITUTE(SUBSTITUTE(PROPERTIES[[#This Row],[PURCHASECOST_VALUE]], "PURCHASECOST_", ""), "_VALUE", "")</f>
        <v>STEAMENGINE</v>
      </c>
      <c r="AI837" s="7" t="str" cm="1">
        <f t="array" ref="AI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7" s="43" t="b">
        <v>0</v>
      </c>
      <c r="AK837" s="8" t="b">
        <v>0</v>
      </c>
      <c r="BA837" s="7"/>
      <c r="BB837" s="8"/>
      <c r="BC837" s="9"/>
      <c r="BD837"/>
    </row>
    <row r="838" spans="1:56">
      <c r="A838" s="2" t="s">
        <v>3383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5" t="str">
        <f>_xlfn.XLOOKUP(PROPERTIES[[#This Row],[VEHIDCODE]],CONTROL[VEHIDCODE],CONTROL[ENGLISH])</f>
        <v>BP/Dubs 4-4-0 'Z12'</v>
      </c>
      <c r="F838" t="s">
        <v>580</v>
      </c>
      <c r="G838" s="45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8">
        <v>40</v>
      </c>
      <c r="R838">
        <v>400</v>
      </c>
      <c r="S838">
        <v>100</v>
      </c>
      <c r="T838" s="25">
        <v>62.4</v>
      </c>
      <c r="U838" s="25">
        <f>IFERROR(PROPERTIES[[#This Row],[TE_STARTING_KN]]/(PROPERTIES[[#This Row],[WEIGHT]]*9.81),0)</f>
        <v>0.15902140672782872</v>
      </c>
      <c r="V838" s="25">
        <v>0</v>
      </c>
      <c r="W838" s="21">
        <f>ROUND(IF(IFERROR(PROPERTIES[[#This Row],[TE_COEFFICIENT_CALC]],0)=0,PROPERTIES[[#This Row],[TE_COEFFICIENT_MANUAL]],PROPERTIES[[#This Row],[TE_COEFFICIENT_CALC]]),3)</f>
        <v>0.159</v>
      </c>
      <c r="X838" s="32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1">
        <v>0</v>
      </c>
      <c r="Z838" s="7">
        <v>3</v>
      </c>
      <c r="AA838" t="s">
        <v>241</v>
      </c>
      <c r="AB838" t="s">
        <v>238</v>
      </c>
      <c r="AC838" t="s">
        <v>238</v>
      </c>
      <c r="AD838" s="2" t="s">
        <v>238</v>
      </c>
      <c r="AE838" s="2" t="s">
        <v>253</v>
      </c>
      <c r="AF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8" s="2" t="str">
        <f>SUBSTITUTE(SUBSTITUTE(PROPERTIES[[#This Row],[PURCHASECOST_VALUE]], "PURCHASECOST_", ""), "_VALUE", "")</f>
        <v>STEAMENGINE</v>
      </c>
      <c r="AI838" s="7" t="str" cm="1">
        <f t="array" ref="AI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8" s="43" t="b">
        <v>0</v>
      </c>
      <c r="AK838" s="8" t="b">
        <v>0</v>
      </c>
      <c r="BA838" s="7"/>
      <c r="BB838" s="8"/>
      <c r="BC838" s="9"/>
      <c r="BD838"/>
    </row>
    <row r="839" spans="1:56">
      <c r="A839" s="2" t="s">
        <v>3384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5" t="str">
        <f>_xlfn.XLOOKUP(PROPERTIES[[#This Row],[VEHIDCODE]],CONTROL[VEHIDCODE],CONTROL[ENGLISH])</f>
        <v>BP 0-6-0 'Z19'</v>
      </c>
      <c r="F839" t="s">
        <v>580</v>
      </c>
      <c r="G839" s="45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8">
        <v>34</v>
      </c>
      <c r="R839">
        <v>500</v>
      </c>
      <c r="S839">
        <v>40</v>
      </c>
      <c r="T839" s="25">
        <v>79.599999999999994</v>
      </c>
      <c r="U839" s="25">
        <f>IFERROR(PROPERTIES[[#This Row],[TE_STARTING_KN]]/(PROPERTIES[[#This Row],[WEIGHT]]*9.81),0)</f>
        <v>0.23865203573784249</v>
      </c>
      <c r="V839" s="25">
        <v>0</v>
      </c>
      <c r="W839" s="21">
        <f>ROUND(IF(IFERROR(PROPERTIES[[#This Row],[TE_COEFFICIENT_CALC]],0)=0,PROPERTIES[[#This Row],[TE_COEFFICIENT_MANUAL]],PROPERTIES[[#This Row],[TE_COEFFICIENT_CALC]]),3)</f>
        <v>0.23899999999999999</v>
      </c>
      <c r="X839" s="32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1">
        <v>0</v>
      </c>
      <c r="Z839" s="7">
        <v>3</v>
      </c>
      <c r="AA839" t="s">
        <v>241</v>
      </c>
      <c r="AB839" t="s">
        <v>238</v>
      </c>
      <c r="AC839" t="s">
        <v>238</v>
      </c>
      <c r="AD839" s="2" t="s">
        <v>238</v>
      </c>
      <c r="AE839" s="2" t="s">
        <v>253</v>
      </c>
      <c r="AF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9" s="2" t="str">
        <f>SUBSTITUTE(SUBSTITUTE(PROPERTIES[[#This Row],[PURCHASECOST_VALUE]], "PURCHASECOST_", ""), "_VALUE", "")</f>
        <v>STEAMENGINE</v>
      </c>
      <c r="AI839" s="7" t="str" cm="1">
        <f t="array" ref="AI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39" s="43" t="b">
        <v>0</v>
      </c>
      <c r="AK839" s="8" t="b">
        <v>0</v>
      </c>
      <c r="BA839" s="7"/>
      <c r="BB839" s="8"/>
      <c r="BC839" s="9"/>
      <c r="BD839"/>
    </row>
    <row r="840" spans="1:56">
      <c r="A840" s="2" t="s">
        <v>3385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5" t="str">
        <f>_xlfn.XLOOKUP(PROPERTIES[[#This Row],[VEHIDCODE]],CONTROL[VEHIDCODE],CONTROL[ENGLISH])</f>
        <v>Dubs 2-6-2ST 'Z26'</v>
      </c>
      <c r="F840" t="s">
        <v>580</v>
      </c>
      <c r="G840" s="45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8">
        <v>66</v>
      </c>
      <c r="R840">
        <v>900</v>
      </c>
      <c r="S840">
        <v>65</v>
      </c>
      <c r="T840" s="25">
        <v>99.6</v>
      </c>
      <c r="U840" s="25">
        <f>IFERROR(PROPERTIES[[#This Row],[TE_STARTING_KN]]/(PROPERTIES[[#This Row],[WEIGHT]]*9.81),0)</f>
        <v>0.15383189695116298</v>
      </c>
      <c r="V840" s="25">
        <v>0</v>
      </c>
      <c r="W840" s="21">
        <f>ROUND(IF(IFERROR(PROPERTIES[[#This Row],[TE_COEFFICIENT_CALC]],0)=0,PROPERTIES[[#This Row],[TE_COEFFICIENT_MANUAL]],PROPERTIES[[#This Row],[TE_COEFFICIENT_CALC]]),3)</f>
        <v>0.154</v>
      </c>
      <c r="X840" s="32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1">
        <v>0</v>
      </c>
      <c r="Z840" s="7">
        <v>0</v>
      </c>
      <c r="AA840" t="s">
        <v>241</v>
      </c>
      <c r="AB840" t="s">
        <v>238</v>
      </c>
      <c r="AC840" t="s">
        <v>238</v>
      </c>
      <c r="AD840" s="2" t="s">
        <v>238</v>
      </c>
      <c r="AE840" s="2" t="s">
        <v>253</v>
      </c>
      <c r="AF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0" s="2" t="str">
        <f>SUBSTITUTE(SUBSTITUTE(PROPERTIES[[#This Row],[PURCHASECOST_VALUE]], "PURCHASECOST_", ""), "_VALUE", "")</f>
        <v>STEAMENGINE</v>
      </c>
      <c r="AI840" s="7" t="str" cm="1">
        <f t="array" ref="AI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0" s="43" t="b">
        <v>0</v>
      </c>
      <c r="AK840" s="8" t="b">
        <v>0</v>
      </c>
      <c r="BA840" s="7"/>
      <c r="BB840" s="8"/>
      <c r="BC840" s="9"/>
      <c r="BD840"/>
    </row>
    <row r="841" spans="1:56">
      <c r="A841" s="2" t="s">
        <v>3386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5" t="str">
        <f>_xlfn.XLOOKUP(PROPERTIES[[#This Row],[VEHIDCODE]],CONTROL[VEHIDCODE],CONTROL[ENGLISH])</f>
        <v>GCR/Kitson/NBLC ROD 2-8-0 '8K'</v>
      </c>
      <c r="F841" t="s">
        <v>642</v>
      </c>
      <c r="G841" s="45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8">
        <v>74</v>
      </c>
      <c r="R841">
        <v>1150</v>
      </c>
      <c r="S841">
        <v>80</v>
      </c>
      <c r="T841" s="25">
        <v>139.4</v>
      </c>
      <c r="U841" s="25">
        <f>IFERROR(PROPERTIES[[#This Row],[TE_STARTING_KN]]/(PROPERTIES[[#This Row],[WEIGHT]]*9.81),0)</f>
        <v>0.19202688927459569</v>
      </c>
      <c r="V841" s="25">
        <v>0</v>
      </c>
      <c r="W841" s="21">
        <f>ROUND(IF(IFERROR(PROPERTIES[[#This Row],[TE_COEFFICIENT_CALC]],0)=0,PROPERTIES[[#This Row],[TE_COEFFICIENT_MANUAL]],PROPERTIES[[#This Row],[TE_COEFFICIENT_CALC]]),3)</f>
        <v>0.192</v>
      </c>
      <c r="X841" s="32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1">
        <v>0</v>
      </c>
      <c r="Z841" s="7">
        <v>3</v>
      </c>
      <c r="AA841" t="s">
        <v>243</v>
      </c>
      <c r="AB841" t="s">
        <v>241</v>
      </c>
      <c r="AC841" t="s">
        <v>238</v>
      </c>
      <c r="AD841" s="2" t="s">
        <v>238</v>
      </c>
      <c r="AE841" s="2" t="s">
        <v>253</v>
      </c>
      <c r="AF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1" s="2" t="str">
        <f>SUBSTITUTE(SUBSTITUTE(PROPERTIES[[#This Row],[PURCHASECOST_VALUE]], "PURCHASECOST_", ""), "_VALUE", "")</f>
        <v>STEAMENGINE</v>
      </c>
      <c r="AI841" s="7" t="str" cm="1">
        <f t="array" ref="AI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1" s="43" t="b">
        <v>0</v>
      </c>
      <c r="AK841" s="8" t="b">
        <v>0</v>
      </c>
      <c r="BA841" s="7"/>
      <c r="BB841" s="8"/>
      <c r="BC841" s="9"/>
      <c r="BD841"/>
    </row>
    <row r="842" spans="1:56">
      <c r="A842" s="2" t="s">
        <v>3387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5" t="str">
        <f>_xlfn.XLOOKUP(PROPERTIES[[#This Row],[VEHIDCODE]],CONTROL[VEHIDCODE],CONTROL[ENGLISH])</f>
        <v>ALCO 4-6-2 SAR 600</v>
      </c>
      <c r="F842" t="s">
        <v>580</v>
      </c>
      <c r="G842" s="45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8">
        <v>203</v>
      </c>
      <c r="R842">
        <v>2300</v>
      </c>
      <c r="S842">
        <v>115</v>
      </c>
      <c r="T842" s="25">
        <v>162.80000000000001</v>
      </c>
      <c r="U842" s="25">
        <f>IFERROR(PROPERTIES[[#This Row],[TE_STARTING_KN]]/(PROPERTIES[[#This Row],[WEIGHT]]*9.81),0)</f>
        <v>8.175030003565277E-2</v>
      </c>
      <c r="V842" s="25">
        <v>0</v>
      </c>
      <c r="W842" s="21">
        <f>ROUND(IF(IFERROR(PROPERTIES[[#This Row],[TE_COEFFICIENT_CALC]],0)=0,PROPERTIES[[#This Row],[TE_COEFFICIENT_MANUAL]],PROPERTIES[[#This Row],[TE_COEFFICIENT_CALC]]),3)</f>
        <v>8.2000000000000003E-2</v>
      </c>
      <c r="X842" s="32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1">
        <v>0</v>
      </c>
      <c r="Z842" s="7">
        <v>4</v>
      </c>
      <c r="AA842" t="s">
        <v>241</v>
      </c>
      <c r="AB842" t="s">
        <v>238</v>
      </c>
      <c r="AC842" t="s">
        <v>238</v>
      </c>
      <c r="AD842" s="2" t="s">
        <v>238</v>
      </c>
      <c r="AE842" s="2" t="s">
        <v>253</v>
      </c>
      <c r="AF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2" s="2" t="str">
        <f>SUBSTITUTE(SUBSTITUTE(PROPERTIES[[#This Row],[PURCHASECOST_VALUE]], "PURCHASECOST_", ""), "_VALUE", "")</f>
        <v>STEAMENGINE</v>
      </c>
      <c r="AI842" s="7" t="str" cm="1">
        <f t="array" ref="AI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2" s="43" t="b">
        <v>0</v>
      </c>
      <c r="AK842" s="8" t="b">
        <v>0</v>
      </c>
      <c r="BA842" s="7"/>
      <c r="BB842" s="8"/>
      <c r="BC842" s="9"/>
      <c r="BD842"/>
    </row>
    <row r="843" spans="1:56">
      <c r="A843" s="2" t="s">
        <v>3388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5" t="str">
        <f>_xlfn.XLOOKUP(PROPERTIES[[#This Row],[VEHIDCODE]],CONTROL[VEHIDCODE],CONTROL[ENGLISH])</f>
        <v>BP 2-8-2T South Maitland 10</v>
      </c>
      <c r="F843" t="s">
        <v>580</v>
      </c>
      <c r="G843" s="45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8">
        <v>83</v>
      </c>
      <c r="R843">
        <v>875</v>
      </c>
      <c r="S843">
        <v>80</v>
      </c>
      <c r="T843" s="25">
        <v>138.83000000000001</v>
      </c>
      <c r="U843" s="25">
        <f>IFERROR(PROPERTIES[[#This Row],[TE_STARTING_KN]]/(PROPERTIES[[#This Row],[WEIGHT]]*9.81),0)</f>
        <v>0.17050464856367367</v>
      </c>
      <c r="V843" s="25">
        <v>0</v>
      </c>
      <c r="W843" s="21">
        <f>ROUND(IF(IFERROR(PROPERTIES[[#This Row],[TE_COEFFICIENT_CALC]],0)=0,PROPERTIES[[#This Row],[TE_COEFFICIENT_MANUAL]],PROPERTIES[[#This Row],[TE_COEFFICIENT_CALC]]),3)</f>
        <v>0.17100000000000001</v>
      </c>
      <c r="X843" s="32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1">
        <v>0</v>
      </c>
      <c r="Z843" s="7">
        <v>0</v>
      </c>
      <c r="AA843" t="s">
        <v>241</v>
      </c>
      <c r="AB843" t="s">
        <v>238</v>
      </c>
      <c r="AC843" t="s">
        <v>238</v>
      </c>
      <c r="AD843" s="2" t="s">
        <v>238</v>
      </c>
      <c r="AE843" s="2" t="s">
        <v>253</v>
      </c>
      <c r="AF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3" s="2" t="str">
        <f>SUBSTITUTE(SUBSTITUTE(PROPERTIES[[#This Row],[PURCHASECOST_VALUE]], "PURCHASECOST_", ""), "_VALUE", "")</f>
        <v>STEAMENGINE</v>
      </c>
      <c r="AI843" s="7" t="str" cm="1">
        <f t="array" ref="AI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3" s="43" t="b">
        <v>0</v>
      </c>
      <c r="AK843" s="8" t="b">
        <v>0</v>
      </c>
      <c r="BA843" s="7"/>
      <c r="BB843" s="8"/>
      <c r="BC843" s="9"/>
      <c r="BD843"/>
    </row>
    <row r="844" spans="1:56">
      <c r="A844" s="2" t="s">
        <v>3389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5" t="str">
        <f>_xlfn.XLOOKUP(PROPERTIES[[#This Row],[VEHIDCODE]],CONTROL[VEHIDCODE],CONTROL[ENGLISH])</f>
        <v>Victorian Railways H</v>
      </c>
      <c r="F844" t="s">
        <v>580</v>
      </c>
      <c r="G844" s="45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8">
        <v>260</v>
      </c>
      <c r="R844">
        <v>3600</v>
      </c>
      <c r="S844">
        <v>80</v>
      </c>
      <c r="T844" s="25">
        <v>245</v>
      </c>
      <c r="U844" s="25">
        <f>IFERROR(PROPERTIES[[#This Row],[TE_STARTING_KN]]/(PROPERTIES[[#This Row],[WEIGHT]]*9.81),0)</f>
        <v>9.6055830000784131E-2</v>
      </c>
      <c r="V844" s="25">
        <v>0</v>
      </c>
      <c r="W844" s="21">
        <f>ROUND(IF(IFERROR(PROPERTIES[[#This Row],[TE_COEFFICIENT_CALC]],0)=0,PROPERTIES[[#This Row],[TE_COEFFICIENT_MANUAL]],PROPERTIES[[#This Row],[TE_COEFFICIENT_CALC]]),3)</f>
        <v>9.6000000000000002E-2</v>
      </c>
      <c r="X844" s="32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1">
        <v>0</v>
      </c>
      <c r="Z844" s="7">
        <v>5</v>
      </c>
      <c r="AA844" t="s">
        <v>241</v>
      </c>
      <c r="AB844" t="s">
        <v>238</v>
      </c>
      <c r="AC844" t="s">
        <v>238</v>
      </c>
      <c r="AD844" s="2" t="s">
        <v>238</v>
      </c>
      <c r="AE844" s="2" t="s">
        <v>253</v>
      </c>
      <c r="AF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4" s="2" t="str">
        <f>SUBSTITUTE(SUBSTITUTE(PROPERTIES[[#This Row],[PURCHASECOST_VALUE]], "PURCHASECOST_", ""), "_VALUE", "")</f>
        <v>STEAMENGINE</v>
      </c>
      <c r="AI844" s="7" t="str" cm="1">
        <f t="array" ref="AI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4" s="43" t="b">
        <v>0</v>
      </c>
      <c r="AK844" s="8" t="b">
        <v>0</v>
      </c>
      <c r="BA844" s="7"/>
      <c r="BB844" s="8"/>
      <c r="BC844" s="9"/>
      <c r="BD844"/>
    </row>
    <row r="845" spans="1:56">
      <c r="A845" s="2" t="s">
        <v>3390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5" t="str">
        <f>_xlfn.XLOOKUP(PROPERTIES[[#This Row],[VEHIDCODE]],CONTROL[VEHIDCODE],CONTROL[ENGLISH])</f>
        <v>BTH 41 Class</v>
      </c>
      <c r="F845" t="s">
        <v>580</v>
      </c>
      <c r="G845" s="45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8">
        <v>83</v>
      </c>
      <c r="R845">
        <v>400</v>
      </c>
      <c r="S845">
        <v>92</v>
      </c>
      <c r="T845" s="25">
        <v>150</v>
      </c>
      <c r="U845" s="25">
        <f>IFERROR(PROPERTIES[[#This Row],[TE_STARTING_KN]]/(PROPERTIES[[#This Row],[WEIGHT]]*9.81),0)</f>
        <v>0.18422313105633542</v>
      </c>
      <c r="V845" s="25">
        <v>0</v>
      </c>
      <c r="W845" s="21">
        <f>ROUND(IF(IFERROR(PROPERTIES[[#This Row],[TE_COEFFICIENT_CALC]],0)=0,PROPERTIES[[#This Row],[TE_COEFFICIENT_MANUAL]],PROPERTIES[[#This Row],[TE_COEFFICIENT_CALC]]),3)</f>
        <v>0.184</v>
      </c>
      <c r="X845" s="32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1">
        <v>0</v>
      </c>
      <c r="Z845" s="7">
        <v>0</v>
      </c>
      <c r="AA845" t="s">
        <v>241</v>
      </c>
      <c r="AB845" t="s">
        <v>238</v>
      </c>
      <c r="AC845" t="s">
        <v>238</v>
      </c>
      <c r="AD845" s="2" t="s">
        <v>238</v>
      </c>
      <c r="AE845" s="2" t="s">
        <v>253</v>
      </c>
      <c r="AF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5" s="2" t="str">
        <f>SUBSTITUTE(SUBSTITUTE(PROPERTIES[[#This Row],[PURCHASECOST_VALUE]], "PURCHASECOST_", ""), "_VALUE", "")</f>
        <v>DIESELENGINE</v>
      </c>
      <c r="AI845" s="7" t="str" cm="1">
        <f t="array" ref="AI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5" s="43" t="b">
        <v>0</v>
      </c>
      <c r="AK845" s="8" t="b">
        <v>0</v>
      </c>
      <c r="BA845" s="7"/>
      <c r="BB845" s="8"/>
      <c r="BC845" s="9"/>
      <c r="BD845"/>
    </row>
    <row r="846" spans="1:56">
      <c r="A846" s="2" t="s">
        <v>3391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5" t="str">
        <f>_xlfn.XLOOKUP(PROPERTIES[[#This Row],[VEHIDCODE]],CONTROL[VEHIDCODE],CONTROL[ENGLISH])</f>
        <v>ALCO/AE Goodwin DL531/532</v>
      </c>
      <c r="F846" t="s">
        <v>580</v>
      </c>
      <c r="G846" s="45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8">
        <v>75.2</v>
      </c>
      <c r="R846">
        <v>1050</v>
      </c>
      <c r="S846">
        <v>100</v>
      </c>
      <c r="T846" s="25">
        <v>178.82</v>
      </c>
      <c r="U846" s="25">
        <f>IFERROR(PROPERTIES[[#This Row],[TE_STARTING_KN]]/(PROPERTIES[[#This Row],[WEIGHT]]*9.81),0)</f>
        <v>0.24239811742251716</v>
      </c>
      <c r="V846" s="25">
        <v>0</v>
      </c>
      <c r="W846" s="21">
        <f>ROUND(IF(IFERROR(PROPERTIES[[#This Row],[TE_COEFFICIENT_CALC]],0)=0,PROPERTIES[[#This Row],[TE_COEFFICIENT_MANUAL]],PROPERTIES[[#This Row],[TE_COEFFICIENT_CALC]]),3)</f>
        <v>0.24199999999999999</v>
      </c>
      <c r="X846" s="32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1">
        <v>0</v>
      </c>
      <c r="Z846" s="7">
        <v>0</v>
      </c>
      <c r="AA846" t="s">
        <v>2013</v>
      </c>
      <c r="AB846" t="s">
        <v>2012</v>
      </c>
      <c r="AC846" t="s">
        <v>238</v>
      </c>
      <c r="AD846" s="2" t="s">
        <v>238</v>
      </c>
      <c r="AE846" s="2" t="s">
        <v>253</v>
      </c>
      <c r="AF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6" s="2" t="str">
        <f>SUBSTITUTE(SUBSTITUTE(PROPERTIES[[#This Row],[PURCHASECOST_VALUE]], "PURCHASECOST_", ""), "_VALUE", "")</f>
        <v>DIESELENGINE</v>
      </c>
      <c r="AI846" s="7" t="str" cm="1">
        <f t="array" ref="AI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6" s="43" t="b">
        <v>0</v>
      </c>
      <c r="AK846" s="8" t="b">
        <v>0</v>
      </c>
      <c r="BA846" s="7"/>
      <c r="BB846" s="8"/>
      <c r="BC846" s="9"/>
      <c r="BD846"/>
    </row>
    <row r="847" spans="1:56">
      <c r="A847" s="2" t="s">
        <v>3392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5" t="str">
        <f>_xlfn.XLOOKUP(PROPERTIES[[#This Row],[VEHIDCODE]],CONTROL[VEHIDCODE],CONTROL[ENGLISH])</f>
        <v>ALCO/AE Goodwin DL500</v>
      </c>
      <c r="F847" t="s">
        <v>796</v>
      </c>
      <c r="G847" s="45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8">
        <v>110</v>
      </c>
      <c r="R847">
        <v>1600</v>
      </c>
      <c r="S847">
        <v>113</v>
      </c>
      <c r="T847" s="25">
        <v>270.8</v>
      </c>
      <c r="U847" s="25">
        <f>IFERROR(PROPERTIES[[#This Row],[TE_STARTING_KN]]/(PROPERTIES[[#This Row],[WEIGHT]]*9.81),0)</f>
        <v>0.2509498656287647</v>
      </c>
      <c r="V847" s="25">
        <v>0</v>
      </c>
      <c r="W847" s="21">
        <f>ROUND(IF(IFERROR(PROPERTIES[[#This Row],[TE_COEFFICIENT_CALC]],0)=0,PROPERTIES[[#This Row],[TE_COEFFICIENT_MANUAL]],PROPERTIES[[#This Row],[TE_COEFFICIENT_CALC]]),3)</f>
        <v>0.251</v>
      </c>
      <c r="X847" s="32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1">
        <v>0</v>
      </c>
      <c r="Z847" s="7">
        <v>0</v>
      </c>
      <c r="AA847" t="s">
        <v>246</v>
      </c>
      <c r="AB847" t="s">
        <v>243</v>
      </c>
      <c r="AC847" t="s">
        <v>240</v>
      </c>
      <c r="AD847" s="2" t="s">
        <v>2012</v>
      </c>
      <c r="AE847" s="2" t="s">
        <v>253</v>
      </c>
      <c r="AF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7" s="2" t="str">
        <f>SUBSTITUTE(SUBSTITUTE(PROPERTIES[[#This Row],[PURCHASECOST_VALUE]], "PURCHASECOST_", ""), "_VALUE", "")</f>
        <v>DIESELENGINE</v>
      </c>
      <c r="AI847" s="7" t="str" cm="1">
        <f t="array" ref="AI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7" s="43" t="b">
        <v>0</v>
      </c>
      <c r="AK847" s="8" t="b">
        <v>0</v>
      </c>
      <c r="BA847" s="7"/>
      <c r="BB847" s="8"/>
      <c r="BC847" s="9"/>
      <c r="BD847"/>
    </row>
    <row r="848" spans="1:56">
      <c r="A848" s="2" t="s">
        <v>3393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5" t="str">
        <f>_xlfn.XLOOKUP(PROPERTIES[[#This Row],[VEHIDCODE]],CONTROL[VEHIDCODE],CONTROL[ENGLISH])</f>
        <v>EMD/Clyde A16C</v>
      </c>
      <c r="F848" t="s">
        <v>580</v>
      </c>
      <c r="G848" s="45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8">
        <v>114</v>
      </c>
      <c r="R848">
        <v>1750</v>
      </c>
      <c r="S848">
        <v>145</v>
      </c>
      <c r="T848" s="25">
        <v>251</v>
      </c>
      <c r="U848" s="25">
        <f>IFERROR(PROPERTIES[[#This Row],[TE_STARTING_KN]]/(PROPERTIES[[#This Row],[WEIGHT]]*9.81),0)</f>
        <v>0.22443979469570968</v>
      </c>
      <c r="V848" s="25">
        <v>0</v>
      </c>
      <c r="W848" s="21">
        <f>ROUND(IF(IFERROR(PROPERTIES[[#This Row],[TE_COEFFICIENT_CALC]],0)=0,PROPERTIES[[#This Row],[TE_COEFFICIENT_MANUAL]],PROPERTIES[[#This Row],[TE_COEFFICIENT_CALC]]),3)</f>
        <v>0.224</v>
      </c>
      <c r="X848" s="32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1">
        <v>0</v>
      </c>
      <c r="Z848" s="7">
        <v>0</v>
      </c>
      <c r="AA848" t="s">
        <v>241</v>
      </c>
      <c r="AB848" t="s">
        <v>238</v>
      </c>
      <c r="AC848" t="s">
        <v>238</v>
      </c>
      <c r="AD848" s="2" t="s">
        <v>238</v>
      </c>
      <c r="AE848" s="2" t="s">
        <v>253</v>
      </c>
      <c r="AF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8" s="2" t="str">
        <f>SUBSTITUTE(SUBSTITUTE(PROPERTIES[[#This Row],[PURCHASECOST_VALUE]], "PURCHASECOST_", ""), "_VALUE", "")</f>
        <v>DIESELENGINE</v>
      </c>
      <c r="AI848" s="7" t="str" cm="1">
        <f t="array" ref="AI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8" s="43" t="b">
        <v>0</v>
      </c>
      <c r="AK848" s="8" t="b">
        <v>0</v>
      </c>
      <c r="BA848" s="7"/>
      <c r="BB848" s="8"/>
      <c r="BC848" s="9"/>
      <c r="BD848"/>
    </row>
    <row r="849" spans="1:56">
      <c r="A849" s="2" t="s">
        <v>3539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5" t="str">
        <f>_xlfn.XLOOKUP(PROPERTIES[[#This Row],[VEHIDCODE]],CONTROL[VEHIDCODE],CONTROL[ENGLISH])</f>
        <v>EMD/Clyde AAT22C-2R</v>
      </c>
      <c r="F849" t="s">
        <v>580</v>
      </c>
      <c r="G849" s="45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8">
        <v>120</v>
      </c>
      <c r="R849">
        <v>2476</v>
      </c>
      <c r="S849">
        <v>133</v>
      </c>
      <c r="T849" s="25">
        <v>294</v>
      </c>
      <c r="U849" s="25">
        <f>IFERROR(PROPERTIES[[#This Row],[TE_STARTING_KN]]/(PROPERTIES[[#This Row],[WEIGHT]]*9.81),0)</f>
        <v>0.24974515800203873</v>
      </c>
      <c r="V849" s="25">
        <v>0</v>
      </c>
      <c r="W849" s="21">
        <f>ROUND(IF(IFERROR(PROPERTIES[[#This Row],[TE_COEFFICIENT_CALC]],0)=0,PROPERTIES[[#This Row],[TE_COEFFICIENT_MANUAL]],PROPERTIES[[#This Row],[TE_COEFFICIENT_CALC]]),3)</f>
        <v>0.25</v>
      </c>
      <c r="X849" s="32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1">
        <v>0</v>
      </c>
      <c r="Z849" s="7">
        <v>0</v>
      </c>
      <c r="AA849" t="s">
        <v>241</v>
      </c>
      <c r="AB849" t="s">
        <v>238</v>
      </c>
      <c r="AC849" t="s">
        <v>238</v>
      </c>
      <c r="AD849" s="2" t="s">
        <v>238</v>
      </c>
      <c r="AE849" s="2" t="s">
        <v>253</v>
      </c>
      <c r="AF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9" s="2" t="str">
        <f>SUBSTITUTE(SUBSTITUTE(PROPERTIES[[#This Row],[PURCHASECOST_VALUE]], "PURCHASECOST_", ""), "_VALUE", "")</f>
        <v>DIESELENGINE</v>
      </c>
      <c r="AI849" s="7" t="str" cm="1">
        <f t="array" ref="AI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9" s="43" t="b">
        <v>0</v>
      </c>
      <c r="AK849" s="8" t="b">
        <v>1</v>
      </c>
      <c r="BA849" s="7"/>
      <c r="BB849" s="8"/>
      <c r="BC849" s="9"/>
      <c r="BD849"/>
    </row>
    <row r="850" spans="1:56">
      <c r="A850" s="2" t="s">
        <v>3394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5" t="str">
        <f>_xlfn.XLOOKUP(PROPERTIES[[#This Row],[VEHIDCODE]],CONTROL[VEHIDCODE],CONTROL[ENGLISH])</f>
        <v>EMD/Clyde A7</v>
      </c>
      <c r="F850" t="s">
        <v>580</v>
      </c>
      <c r="G850" s="45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8">
        <v>122</v>
      </c>
      <c r="R850">
        <v>1750</v>
      </c>
      <c r="S850">
        <v>114</v>
      </c>
      <c r="T850" s="25">
        <v>300</v>
      </c>
      <c r="U850" s="25">
        <f>IFERROR(PROPERTIES[[#This Row],[TE_STARTING_KN]]/(PROPERTIES[[#This Row],[WEIGHT]]*9.81),0)</f>
        <v>0.25066426028976785</v>
      </c>
      <c r="V850" s="25">
        <v>0</v>
      </c>
      <c r="W850" s="21">
        <f>ROUND(IF(IFERROR(PROPERTIES[[#This Row],[TE_COEFFICIENT_CALC]],0)=0,PROPERTIES[[#This Row],[TE_COEFFICIENT_MANUAL]],PROPERTIES[[#This Row],[TE_COEFFICIENT_CALC]]),3)</f>
        <v>0.251</v>
      </c>
      <c r="X850" s="32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1">
        <v>0</v>
      </c>
      <c r="Z850" s="7">
        <v>0</v>
      </c>
      <c r="AA850" t="s">
        <v>241</v>
      </c>
      <c r="AB850" t="s">
        <v>238</v>
      </c>
      <c r="AC850" t="s">
        <v>238</v>
      </c>
      <c r="AD850" s="2" t="s">
        <v>238</v>
      </c>
      <c r="AE850" s="2" t="s">
        <v>253</v>
      </c>
      <c r="AF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0" s="2" t="str">
        <f>SUBSTITUTE(SUBSTITUTE(PROPERTIES[[#This Row],[PURCHASECOST_VALUE]], "PURCHASECOST_", ""), "_VALUE", "")</f>
        <v>DIESELENGINE</v>
      </c>
      <c r="AI850" s="7" t="str" cm="1">
        <f t="array" ref="AI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0" s="43" t="b">
        <v>0</v>
      </c>
      <c r="AK850" s="8" t="b">
        <v>0</v>
      </c>
      <c r="BA850" s="7"/>
      <c r="BB850" s="8"/>
      <c r="BC850" s="9"/>
      <c r="BD850"/>
    </row>
    <row r="851" spans="1:56">
      <c r="A851" s="2" t="s">
        <v>3395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5" t="str">
        <f>_xlfn.XLOOKUP(PROPERTIES[[#This Row],[VEHIDCODE]],CONTROL[VEHIDCODE],CONTROL[ENGLISH])</f>
        <v xml:space="preserve">EMD/Clyde AT42C </v>
      </c>
      <c r="F851" t="s">
        <v>580</v>
      </c>
      <c r="G851" s="45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8">
        <v>121</v>
      </c>
      <c r="R851">
        <v>3030</v>
      </c>
      <c r="S851">
        <v>153</v>
      </c>
      <c r="T851" s="25">
        <v>370</v>
      </c>
      <c r="U851" s="25">
        <f>IFERROR(PROPERTIES[[#This Row],[TE_STARTING_KN]]/(PROPERTIES[[#This Row],[WEIGHT]]*9.81),0)</f>
        <v>0.31170756775427333</v>
      </c>
      <c r="V851" s="25">
        <v>0</v>
      </c>
      <c r="W851" s="21">
        <f>ROUND(IF(IFERROR(PROPERTIES[[#This Row],[TE_COEFFICIENT_CALC]],0)=0,PROPERTIES[[#This Row],[TE_COEFFICIENT_MANUAL]],PROPERTIES[[#This Row],[TE_COEFFICIENT_CALC]]),3)</f>
        <v>0.312</v>
      </c>
      <c r="X851" s="32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1">
        <v>0</v>
      </c>
      <c r="Z851" s="7">
        <v>0</v>
      </c>
      <c r="AA851" t="s">
        <v>241</v>
      </c>
      <c r="AB851" t="s">
        <v>238</v>
      </c>
      <c r="AC851" t="s">
        <v>238</v>
      </c>
      <c r="AD851" s="2" t="s">
        <v>238</v>
      </c>
      <c r="AE851" s="2" t="s">
        <v>253</v>
      </c>
      <c r="AF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1" s="2" t="str">
        <f>SUBSTITUTE(SUBSTITUTE(PROPERTIES[[#This Row],[PURCHASECOST_VALUE]], "PURCHASECOST_", ""), "_VALUE", "")</f>
        <v>DIESELENGINE</v>
      </c>
      <c r="AI851" s="7" t="str" cm="1">
        <f t="array" ref="AI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1" s="43" t="b">
        <v>0</v>
      </c>
      <c r="AK851" s="8" t="b">
        <v>0</v>
      </c>
      <c r="BA851" s="7"/>
      <c r="BB851" s="8"/>
      <c r="BC851" s="9"/>
      <c r="BD851"/>
    </row>
    <row r="852" spans="1:56">
      <c r="A852" s="2" t="s">
        <v>3396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5" t="str">
        <f>_xlfn.XLOOKUP(PROPERTIES[[#This Row],[VEHIDCODE]],CONTROL[VEHIDCODE],CONTROL[ENGLISH])</f>
        <v>Clyde-ASEA CF48</v>
      </c>
      <c r="F852" t="s">
        <v>580</v>
      </c>
      <c r="G852" s="45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8">
        <v>109.8</v>
      </c>
      <c r="R852">
        <v>3880</v>
      </c>
      <c r="S852">
        <v>80</v>
      </c>
      <c r="T852" s="25">
        <v>341</v>
      </c>
      <c r="U852" s="25">
        <f>IFERROR(PROPERTIES[[#This Row],[TE_STARTING_KN]]/(PROPERTIES[[#This Row],[WEIGHT]]*9.81),0)</f>
        <v>0.31657967688448463</v>
      </c>
      <c r="V852" s="25">
        <v>0</v>
      </c>
      <c r="W852" s="21">
        <f>ROUND(IF(IFERROR(PROPERTIES[[#This Row],[TE_COEFFICIENT_CALC]],0)=0,PROPERTIES[[#This Row],[TE_COEFFICIENT_MANUAL]],PROPERTIES[[#This Row],[TE_COEFFICIENT_CALC]]),3)</f>
        <v>0.317</v>
      </c>
      <c r="X852" s="32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1">
        <v>0</v>
      </c>
      <c r="Z852" s="7">
        <v>0</v>
      </c>
      <c r="AA852" t="s">
        <v>241</v>
      </c>
      <c r="AB852" t="s">
        <v>238</v>
      </c>
      <c r="AC852" t="s">
        <v>238</v>
      </c>
      <c r="AD852" s="2" t="s">
        <v>238</v>
      </c>
      <c r="AE852" s="2" t="s">
        <v>253</v>
      </c>
      <c r="AF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52" s="2" t="str">
        <f>SUBSTITUTE(SUBSTITUTE(PROPERTIES[[#This Row],[PURCHASECOST_VALUE]], "PURCHASECOST_", ""), "_VALUE", "")</f>
        <v>ELECTRICENGINE</v>
      </c>
      <c r="AI852" s="7" t="str" cm="1">
        <f t="array" ref="AI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2" s="43" t="b">
        <v>0</v>
      </c>
      <c r="AK852" s="8" t="b">
        <v>0</v>
      </c>
      <c r="BA852" s="7"/>
      <c r="BB852" s="8"/>
      <c r="BC852" s="9"/>
      <c r="BD852"/>
    </row>
    <row r="853" spans="1:56">
      <c r="A853" s="2" t="s">
        <v>3397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5" t="str">
        <f>_xlfn.XLOOKUP(PROPERTIES[[#This Row],[VEHIDCODE]],CONTROL[VEHIDCODE],CONTROL[ENGLISH])</f>
        <v>EMD GT46CWM</v>
      </c>
      <c r="F853" t="s">
        <v>580</v>
      </c>
      <c r="G853" s="45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8">
        <v>165</v>
      </c>
      <c r="R853">
        <v>4060</v>
      </c>
      <c r="S853">
        <v>115</v>
      </c>
      <c r="T853" s="25">
        <v>470</v>
      </c>
      <c r="U853" s="25">
        <f>IFERROR(PROPERTIES[[#This Row],[TE_STARTING_KN]]/(PROPERTIES[[#This Row],[WEIGHT]]*9.81),0)</f>
        <v>0.29036542798010684</v>
      </c>
      <c r="V853" s="25">
        <v>0</v>
      </c>
      <c r="W853" s="21">
        <f>ROUND(IF(IFERROR(PROPERTIES[[#This Row],[TE_COEFFICIENT_CALC]],0)=0,PROPERTIES[[#This Row],[TE_COEFFICIENT_MANUAL]],PROPERTIES[[#This Row],[TE_COEFFICIENT_CALC]]),3)</f>
        <v>0.28999999999999998</v>
      </c>
      <c r="X853" s="32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1">
        <v>0</v>
      </c>
      <c r="Z853" s="7">
        <v>0</v>
      </c>
      <c r="AA853" t="s">
        <v>241</v>
      </c>
      <c r="AB853" t="s">
        <v>238</v>
      </c>
      <c r="AC853" t="s">
        <v>238</v>
      </c>
      <c r="AD853" s="2" t="s">
        <v>238</v>
      </c>
      <c r="AE853" s="2" t="s">
        <v>253</v>
      </c>
      <c r="AF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3" s="2" t="str">
        <f>SUBSTITUTE(SUBSTITUTE(PROPERTIES[[#This Row],[PURCHASECOST_VALUE]], "PURCHASECOST_", ""), "_VALUE", "")</f>
        <v>DIESELENGINE</v>
      </c>
      <c r="AI853" s="7" t="str" cm="1">
        <f t="array" ref="AI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53" s="43" t="b">
        <v>0</v>
      </c>
      <c r="AK853" s="8" t="b">
        <v>0</v>
      </c>
      <c r="BA853" s="7"/>
      <c r="BB853" s="8"/>
      <c r="BC853" s="9"/>
      <c r="BD853"/>
    </row>
    <row r="854" spans="1:56">
      <c r="A854" s="2" t="s">
        <v>3398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5" t="str">
        <f>_xlfn.XLOOKUP(PROPERTIES[[#This Row],[VEHIDCODE]],CONTROL[VEHIDCODE],CONTROL[ENGLISH])</f>
        <v>Clyde-EMD GT46CW NR Concept</v>
      </c>
      <c r="F854" t="s">
        <v>580</v>
      </c>
      <c r="G854" s="45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8">
        <v>132</v>
      </c>
      <c r="R854">
        <v>4000</v>
      </c>
      <c r="S854">
        <v>115</v>
      </c>
      <c r="T854" s="25">
        <v>450</v>
      </c>
      <c r="U854" s="25">
        <f>IFERROR(PROPERTIES[[#This Row],[TE_STARTING_KN]]/(PROPERTIES[[#This Row],[WEIGHT]]*9.81),0)</f>
        <v>0.34751181540172366</v>
      </c>
      <c r="V854" s="25">
        <v>0</v>
      </c>
      <c r="W854" s="21">
        <f>ROUND(IF(IFERROR(PROPERTIES[[#This Row],[TE_COEFFICIENT_CALC]],0)=0,PROPERTIES[[#This Row],[TE_COEFFICIENT_MANUAL]],PROPERTIES[[#This Row],[TE_COEFFICIENT_CALC]]),3)</f>
        <v>0.34799999999999998</v>
      </c>
      <c r="X854" s="32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1">
        <v>0</v>
      </c>
      <c r="Z854" s="7">
        <v>0</v>
      </c>
      <c r="AA854" t="s">
        <v>241</v>
      </c>
      <c r="AB854" t="s">
        <v>238</v>
      </c>
      <c r="AC854" t="s">
        <v>238</v>
      </c>
      <c r="AD854" s="2" t="s">
        <v>238</v>
      </c>
      <c r="AE854" s="2" t="s">
        <v>254</v>
      </c>
      <c r="AF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4" s="2" t="str">
        <f>SUBSTITUTE(SUBSTITUTE(PROPERTIES[[#This Row],[PURCHASECOST_VALUE]], "PURCHASECOST_", ""), "_VALUE", "")</f>
        <v>DIESELENGINE</v>
      </c>
      <c r="AI854" s="7" t="str" cm="1">
        <f t="array" ref="AI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4" s="43" t="b">
        <v>0</v>
      </c>
      <c r="AK854" s="8" t="b">
        <v>0</v>
      </c>
      <c r="BA854" s="7"/>
      <c r="BB854" s="8"/>
      <c r="BC854" s="9"/>
      <c r="BD854"/>
    </row>
    <row r="855" spans="1:56">
      <c r="A855" s="2" t="s">
        <v>3399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5" t="str">
        <f>_xlfn.XLOOKUP(PROPERTIES[[#This Row],[VEHIDCODE]],CONTROL[VEHIDCODE],CONTROL[ENGLISH])</f>
        <v>Clyde JE28C PTC 73 Class Concept</v>
      </c>
      <c r="F855" t="s">
        <v>580</v>
      </c>
      <c r="G855" s="45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8">
        <v>108</v>
      </c>
      <c r="R855">
        <v>2250</v>
      </c>
      <c r="S855">
        <v>115</v>
      </c>
      <c r="T855" s="25">
        <v>310</v>
      </c>
      <c r="U855" s="25">
        <f>IFERROR(PROPERTIES[[#This Row],[TE_STARTING_KN]]/(PROPERTIES[[#This Row],[WEIGHT]]*9.81),0)</f>
        <v>0.29259636802959943</v>
      </c>
      <c r="V855" s="25">
        <v>0</v>
      </c>
      <c r="W855" s="21">
        <f>ROUND(IF(IFERROR(PROPERTIES[[#This Row],[TE_COEFFICIENT_CALC]],0)=0,PROPERTIES[[#This Row],[TE_COEFFICIENT_MANUAL]],PROPERTIES[[#This Row],[TE_COEFFICIENT_CALC]]),3)</f>
        <v>0.29299999999999998</v>
      </c>
      <c r="X855" s="32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1">
        <v>0</v>
      </c>
      <c r="Z855" s="7">
        <v>0</v>
      </c>
      <c r="AA855" t="s">
        <v>241</v>
      </c>
      <c r="AB855" t="s">
        <v>238</v>
      </c>
      <c r="AC855" t="s">
        <v>238</v>
      </c>
      <c r="AD855" s="2" t="s">
        <v>238</v>
      </c>
      <c r="AE855" s="2" t="s">
        <v>254</v>
      </c>
      <c r="AF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5" s="2" t="str">
        <f>SUBSTITUTE(SUBSTITUTE(PROPERTIES[[#This Row],[PURCHASECOST_VALUE]], "PURCHASECOST_", ""), "_VALUE", "")</f>
        <v>DIESELENGINE</v>
      </c>
      <c r="AI855" s="7" t="str" cm="1">
        <f t="array" ref="AI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5" s="43" t="b">
        <v>0</v>
      </c>
      <c r="AK855" s="8" t="b">
        <v>0</v>
      </c>
      <c r="BA855" s="7"/>
      <c r="BB855" s="8"/>
      <c r="BC855" s="9"/>
      <c r="BD855"/>
    </row>
    <row r="856" spans="1:56">
      <c r="A856" s="2" t="s">
        <v>3400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5" t="str">
        <f>_xlfn.XLOOKUP(PROPERTIES[[#This Row],[VEHIDCODE]],CONTROL[VEHIDCODE],CONTROL[ENGLISH])</f>
        <v>EMD/Clyde JT22HC-2</v>
      </c>
      <c r="F856" t="s">
        <v>580</v>
      </c>
      <c r="G856" s="45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8">
        <v>123</v>
      </c>
      <c r="R856">
        <v>2476</v>
      </c>
      <c r="S856">
        <v>130</v>
      </c>
      <c r="T856" s="25">
        <v>289</v>
      </c>
      <c r="U856" s="25">
        <f>IFERROR(PROPERTIES[[#This Row],[TE_STARTING_KN]]/(PROPERTIES[[#This Row],[WEIGHT]]*9.81),0)</f>
        <v>0.23951004036034243</v>
      </c>
      <c r="V856" s="25">
        <v>0</v>
      </c>
      <c r="W856" s="21">
        <f>ROUND(IF(IFERROR(PROPERTIES[[#This Row],[TE_COEFFICIENT_CALC]],0)=0,PROPERTIES[[#This Row],[TE_COEFFICIENT_MANUAL]],PROPERTIES[[#This Row],[TE_COEFFICIENT_CALC]]),3)</f>
        <v>0.24</v>
      </c>
      <c r="X856" s="32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1">
        <v>0</v>
      </c>
      <c r="Z856" s="7">
        <v>0</v>
      </c>
      <c r="AA856" t="s">
        <v>241</v>
      </c>
      <c r="AB856" t="s">
        <v>238</v>
      </c>
      <c r="AC856" t="s">
        <v>238</v>
      </c>
      <c r="AD856" s="2" t="s">
        <v>238</v>
      </c>
      <c r="AE856" s="2" t="s">
        <v>253</v>
      </c>
      <c r="AF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6" s="2" t="str">
        <f>SUBSTITUTE(SUBSTITUTE(PROPERTIES[[#This Row],[PURCHASECOST_VALUE]], "PURCHASECOST_", ""), "_VALUE", "")</f>
        <v>DIESELENGINE</v>
      </c>
      <c r="AI856" s="7" t="str" cm="1">
        <f t="array" ref="AI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6" s="43" t="b">
        <v>0</v>
      </c>
      <c r="AK856" s="8" t="b">
        <v>0</v>
      </c>
      <c r="BA856" s="7"/>
      <c r="BB856" s="8"/>
      <c r="BC856" s="9"/>
      <c r="BD856"/>
    </row>
    <row r="857" spans="1:56">
      <c r="A857" s="2" t="s">
        <v>3534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5" t="str">
        <f>_xlfn.XLOOKUP(PROPERTIES[[#This Row],[VEHIDCODE]],CONTROL[VEHIDCODE],CONTROL[ENGLISH])</f>
        <v>EMD/Clyde JT26C-2SS NSW 81</v>
      </c>
      <c r="F857" t="s">
        <v>580</v>
      </c>
      <c r="G857" s="45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8">
        <v>129</v>
      </c>
      <c r="R857">
        <v>3300</v>
      </c>
      <c r="S857">
        <v>115</v>
      </c>
      <c r="T857" s="25">
        <v>370</v>
      </c>
      <c r="U857" s="25">
        <f>IFERROR(PROPERTIES[[#This Row],[TE_STARTING_KN]]/(PROPERTIES[[#This Row],[WEIGHT]]*9.81),0)</f>
        <v>0.29237686587803935</v>
      </c>
      <c r="V857" s="25">
        <v>0</v>
      </c>
      <c r="W857" s="21">
        <f>ROUND(IF(IFERROR(PROPERTIES[[#This Row],[TE_COEFFICIENT_CALC]],0)=0,PROPERTIES[[#This Row],[TE_COEFFICIENT_MANUAL]],PROPERTIES[[#This Row],[TE_COEFFICIENT_CALC]]),3)</f>
        <v>0.29199999999999998</v>
      </c>
      <c r="X857" s="32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1">
        <v>0</v>
      </c>
      <c r="Z857" s="7">
        <v>0</v>
      </c>
      <c r="AA857" t="s">
        <v>241</v>
      </c>
      <c r="AB857" t="s">
        <v>238</v>
      </c>
      <c r="AC857" t="s">
        <v>238</v>
      </c>
      <c r="AD857" s="2" t="s">
        <v>238</v>
      </c>
      <c r="AE857" s="2" t="s">
        <v>253</v>
      </c>
      <c r="AF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7" s="2" t="str">
        <f>SUBSTITUTE(SUBSTITUTE(PROPERTIES[[#This Row],[PURCHASECOST_VALUE]], "PURCHASECOST_", ""), "_VALUE", "")</f>
        <v>DIESELENGINE</v>
      </c>
      <c r="AI857" s="7" t="str" cm="1">
        <f t="array" ref="AI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7" s="43" t="b">
        <v>0</v>
      </c>
      <c r="AK857" s="8" t="b">
        <v>1</v>
      </c>
      <c r="BA857" s="7"/>
      <c r="BB857" s="8"/>
      <c r="BC857" s="9"/>
      <c r="BD857"/>
    </row>
    <row r="858" spans="1:56">
      <c r="A858" s="2" t="s">
        <v>3535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5" t="str">
        <f>_xlfn.XLOOKUP(PROPERTIES[[#This Row],[VEHIDCODE]],CONTROL[VEHIDCODE],CONTROL[ENGLISH])</f>
        <v>EMD/Clyde JT26C-2SS V-line G</v>
      </c>
      <c r="F858" t="s">
        <v>580</v>
      </c>
      <c r="G858" s="45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8">
        <v>127</v>
      </c>
      <c r="R858">
        <v>3000</v>
      </c>
      <c r="S858">
        <v>115</v>
      </c>
      <c r="T858" s="25">
        <v>337</v>
      </c>
      <c r="U858" s="25">
        <f>IFERROR(PROPERTIES[[#This Row],[TE_STARTING_KN]]/(PROPERTIES[[#This Row],[WEIGHT]]*9.81),0)</f>
        <v>0.27049371122187704</v>
      </c>
      <c r="V858" s="25">
        <v>0</v>
      </c>
      <c r="W858" s="21">
        <f>ROUND(IF(IFERROR(PROPERTIES[[#This Row],[TE_COEFFICIENT_CALC]],0)=0,PROPERTIES[[#This Row],[TE_COEFFICIENT_MANUAL]],PROPERTIES[[#This Row],[TE_COEFFICIENT_CALC]]),3)</f>
        <v>0.27</v>
      </c>
      <c r="X858" s="32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1">
        <v>0</v>
      </c>
      <c r="Z858" s="7">
        <v>0</v>
      </c>
      <c r="AA858" t="s">
        <v>241</v>
      </c>
      <c r="AB858" t="s">
        <v>238</v>
      </c>
      <c r="AC858" t="s">
        <v>238</v>
      </c>
      <c r="AD858" s="2" t="s">
        <v>238</v>
      </c>
      <c r="AE858" s="2" t="s">
        <v>253</v>
      </c>
      <c r="AF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8" s="2" t="str">
        <f>SUBSTITUTE(SUBSTITUTE(PROPERTIES[[#This Row],[PURCHASECOST_VALUE]], "PURCHASECOST_", ""), "_VALUE", "")</f>
        <v>DIESELENGINE</v>
      </c>
      <c r="AI858" s="7" t="str" cm="1">
        <f t="array" ref="AI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8" s="43" t="b">
        <v>0</v>
      </c>
      <c r="AK858" s="8" t="b">
        <v>0</v>
      </c>
      <c r="BA858" s="7"/>
      <c r="BB858" s="8"/>
      <c r="BC858" s="9"/>
      <c r="BD858"/>
    </row>
    <row r="859" spans="1:56">
      <c r="A859" s="2" t="s">
        <v>3559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5" t="str">
        <f>_xlfn.XLOOKUP(PROPERTIES[[#This Row],[VEHIDCODE]],CONTROL[VEHIDCODE],CONTROL[ENGLISH])</f>
        <v>EMD/Clyde JT42C</v>
      </c>
      <c r="F859" t="s">
        <v>580</v>
      </c>
      <c r="G859" s="45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8">
        <v>132</v>
      </c>
      <c r="R859">
        <v>3030</v>
      </c>
      <c r="S859">
        <v>121</v>
      </c>
      <c r="T859" s="25">
        <v>370</v>
      </c>
      <c r="U859" s="25">
        <f>IFERROR(PROPERTIES[[#This Row],[TE_STARTING_KN]]/(PROPERTIES[[#This Row],[WEIGHT]]*9.81),0)</f>
        <v>0.28573193710808387</v>
      </c>
      <c r="V859" s="25">
        <v>0</v>
      </c>
      <c r="W859" s="21">
        <f>ROUND(IF(IFERROR(PROPERTIES[[#This Row],[TE_COEFFICIENT_CALC]],0)=0,PROPERTIES[[#This Row],[TE_COEFFICIENT_MANUAL]],PROPERTIES[[#This Row],[TE_COEFFICIENT_CALC]]),3)</f>
        <v>0.28599999999999998</v>
      </c>
      <c r="X859" s="32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1">
        <v>0</v>
      </c>
      <c r="Z859" s="7">
        <v>0</v>
      </c>
      <c r="AA859" t="s">
        <v>241</v>
      </c>
      <c r="AB859" t="s">
        <v>238</v>
      </c>
      <c r="AC859" t="s">
        <v>238</v>
      </c>
      <c r="AD859" s="2" t="s">
        <v>238</v>
      </c>
      <c r="AE859" s="2" t="s">
        <v>253</v>
      </c>
      <c r="AF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9" s="2" t="str">
        <f>SUBSTITUTE(SUBSTITUTE(PROPERTIES[[#This Row],[PURCHASECOST_VALUE]], "PURCHASECOST_", ""), "_VALUE", "")</f>
        <v>DIESELENGINE</v>
      </c>
      <c r="AI859" s="7" t="str" cm="1">
        <f t="array" ref="AI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9" s="43" t="b">
        <v>0</v>
      </c>
      <c r="AK859" s="8" t="b">
        <v>0</v>
      </c>
      <c r="BA859" s="7"/>
      <c r="BB859" s="8"/>
      <c r="BC859" s="9"/>
      <c r="BD859"/>
    </row>
    <row r="860" spans="1:56">
      <c r="A860" s="2" t="s">
        <v>3540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5" t="str">
        <f>_xlfn.XLOOKUP(PROPERTIES[[#This Row],[VEHIDCODE]],CONTROL[VEHIDCODE],CONTROL[ENGLISH])</f>
        <v>EMD JT42C 90-1277</v>
      </c>
      <c r="F860" t="s">
        <v>580</v>
      </c>
      <c r="G860" s="45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8">
        <v>116</v>
      </c>
      <c r="R860">
        <v>3010</v>
      </c>
      <c r="S860">
        <v>115</v>
      </c>
      <c r="T860" s="25">
        <v>331</v>
      </c>
      <c r="U860" s="25">
        <f>IFERROR(PROPERTIES[[#This Row],[TE_STARTING_KN]]/(PROPERTIES[[#This Row],[WEIGHT]]*9.81),0)</f>
        <v>0.29087138387992545</v>
      </c>
      <c r="V860" s="25">
        <v>0</v>
      </c>
      <c r="W860" s="21">
        <f>ROUND(IF(IFERROR(PROPERTIES[[#This Row],[TE_COEFFICIENT_CALC]],0)=0,PROPERTIES[[#This Row],[TE_COEFFICIENT_MANUAL]],PROPERTIES[[#This Row],[TE_COEFFICIENT_CALC]]),3)</f>
        <v>0.29099999999999998</v>
      </c>
      <c r="X860" s="32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1">
        <v>0</v>
      </c>
      <c r="Z860" s="7">
        <v>0</v>
      </c>
      <c r="AA860" t="s">
        <v>241</v>
      </c>
      <c r="AB860" t="s">
        <v>238</v>
      </c>
      <c r="AC860" t="s">
        <v>238</v>
      </c>
      <c r="AD860" s="2" t="s">
        <v>238</v>
      </c>
      <c r="AE860" s="2" t="s">
        <v>253</v>
      </c>
      <c r="AF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0" s="2" t="str">
        <f>SUBSTITUTE(SUBSTITUTE(PROPERTIES[[#This Row],[PURCHASECOST_VALUE]], "PURCHASECOST_", ""), "_VALUE", "")</f>
        <v>DIESELENGINE</v>
      </c>
      <c r="AI860" s="7" t="str" cm="1">
        <f t="array" ref="AI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0" s="43" t="b">
        <v>0</v>
      </c>
      <c r="AK860" s="8" t="b">
        <v>0</v>
      </c>
      <c r="BA860" s="7"/>
      <c r="BB860" s="8"/>
      <c r="BC860" s="9"/>
      <c r="BD860"/>
    </row>
    <row r="861" spans="1:56">
      <c r="A861" s="2" t="s">
        <v>3401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5" t="str">
        <f>_xlfn.XLOOKUP(PROPERTIES[[#This Row],[VEHIDCODE]],CONTROL[VEHIDCODE],CONTROL[ENGLISH])</f>
        <v>EMD/Clyde JT42C</v>
      </c>
      <c r="F861" t="s">
        <v>580</v>
      </c>
      <c r="G861" s="45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8">
        <v>114</v>
      </c>
      <c r="R861">
        <v>1500</v>
      </c>
      <c r="S861">
        <v>133</v>
      </c>
      <c r="T861" s="25">
        <v>267</v>
      </c>
      <c r="U861" s="25">
        <f>IFERROR(PROPERTIES[[#This Row],[TE_STARTING_KN]]/(PROPERTIES[[#This Row],[WEIGHT]]*9.81),0)</f>
        <v>0.23874671387949994</v>
      </c>
      <c r="V861" s="25">
        <v>0</v>
      </c>
      <c r="W861" s="21">
        <f>ROUND(IF(IFERROR(PROPERTIES[[#This Row],[TE_COEFFICIENT_CALC]],0)=0,PROPERTIES[[#This Row],[TE_COEFFICIENT_MANUAL]],PROPERTIES[[#This Row],[TE_COEFFICIENT_CALC]]),3)</f>
        <v>0.23899999999999999</v>
      </c>
      <c r="X861" s="32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1">
        <v>0</v>
      </c>
      <c r="Z861" s="7">
        <v>0</v>
      </c>
      <c r="AA861" t="s">
        <v>241</v>
      </c>
      <c r="AB861" t="s">
        <v>238</v>
      </c>
      <c r="AC861" t="s">
        <v>238</v>
      </c>
      <c r="AD861" s="2" t="s">
        <v>238</v>
      </c>
      <c r="AE861" s="2" t="s">
        <v>253</v>
      </c>
      <c r="AF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1" s="2" t="str">
        <f>SUBSTITUTE(SUBSTITUTE(PROPERTIES[[#This Row],[PURCHASECOST_VALUE]], "PURCHASECOST_", ""), "_VALUE", "")</f>
        <v>DIESELENGINE</v>
      </c>
      <c r="AI861" s="7" t="str" cm="1">
        <f t="array" ref="AI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1" s="43" t="b">
        <v>0</v>
      </c>
      <c r="AK861" s="8" t="b">
        <v>1</v>
      </c>
      <c r="BA861" s="7"/>
      <c r="BB861" s="8"/>
      <c r="BC861" s="9"/>
      <c r="BD861"/>
    </row>
    <row r="862" spans="1:56">
      <c r="A862" s="2" t="s">
        <v>3541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5" t="str">
        <f>_xlfn.XLOOKUP(PROPERTIES[[#This Row],[VEHIDCODE]],CONTROL[VEHIDCODE],CONTROL[ENGLISH])</f>
        <v>EMD/Clyde ML2</v>
      </c>
      <c r="F862" t="s">
        <v>580</v>
      </c>
      <c r="G862" s="45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8">
        <v>132</v>
      </c>
      <c r="R862">
        <v>3030</v>
      </c>
      <c r="S862">
        <v>121</v>
      </c>
      <c r="T862" s="25">
        <v>413</v>
      </c>
      <c r="U862" s="25">
        <f>IFERROR(PROPERTIES[[#This Row],[TE_STARTING_KN]]/(PROPERTIES[[#This Row],[WEIGHT]]*9.81),0)</f>
        <v>0.31893862169091525</v>
      </c>
      <c r="V862" s="25">
        <v>0</v>
      </c>
      <c r="W862" s="21">
        <f>ROUND(IF(IFERROR(PROPERTIES[[#This Row],[TE_COEFFICIENT_CALC]],0)=0,PROPERTIES[[#This Row],[TE_COEFFICIENT_MANUAL]],PROPERTIES[[#This Row],[TE_COEFFICIENT_CALC]]),3)</f>
        <v>0.31900000000000001</v>
      </c>
      <c r="X862" s="32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1">
        <v>0</v>
      </c>
      <c r="Z862" s="7">
        <v>0</v>
      </c>
      <c r="AA862" t="s">
        <v>241</v>
      </c>
      <c r="AB862" t="s">
        <v>238</v>
      </c>
      <c r="AC862" t="s">
        <v>238</v>
      </c>
      <c r="AD862" s="2" t="s">
        <v>238</v>
      </c>
      <c r="AE862" s="2" t="s">
        <v>253</v>
      </c>
      <c r="AF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2" s="2" t="str">
        <f>SUBSTITUTE(SUBSTITUTE(PROPERTIES[[#This Row],[PURCHASECOST_VALUE]], "PURCHASECOST_", ""), "_VALUE", "")</f>
        <v>DIESELENGINE</v>
      </c>
      <c r="AI862" s="7" t="str" cm="1">
        <f t="array" ref="AI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2" s="43" t="b">
        <v>0</v>
      </c>
      <c r="AK862" s="8" t="b">
        <v>0</v>
      </c>
      <c r="BA862" s="7"/>
      <c r="BB862" s="8"/>
      <c r="BC862" s="9"/>
      <c r="BD862"/>
    </row>
    <row r="863" spans="1:56">
      <c r="A863" s="2" t="s">
        <v>3402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5" t="str">
        <f>_xlfn.XLOOKUP(PROPERTIES[[#This Row],[VEHIDCODE]],CONTROL[VEHIDCODE],CONTROL[ENGLISH])</f>
        <v>EMD/Clyde G16C X1</v>
      </c>
      <c r="F863" t="s">
        <v>580</v>
      </c>
      <c r="G863" s="45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8">
        <v>114</v>
      </c>
      <c r="R863">
        <v>1810</v>
      </c>
      <c r="S863">
        <v>133</v>
      </c>
      <c r="T863" s="25">
        <v>330</v>
      </c>
      <c r="U863" s="25">
        <f>IFERROR(PROPERTIES[[#This Row],[TE_STARTING_KN]]/(PROPERTIES[[#This Row],[WEIGHT]]*9.81),0)</f>
        <v>0.2950802081656741</v>
      </c>
      <c r="V863" s="25">
        <v>0</v>
      </c>
      <c r="W863" s="21">
        <f>ROUND(IF(IFERROR(PROPERTIES[[#This Row],[TE_COEFFICIENT_CALC]],0)=0,PROPERTIES[[#This Row],[TE_COEFFICIENT_MANUAL]],PROPERTIES[[#This Row],[TE_COEFFICIENT_CALC]]),3)</f>
        <v>0.29499999999999998</v>
      </c>
      <c r="X863" s="32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1">
        <v>0</v>
      </c>
      <c r="Z863" s="7">
        <v>0</v>
      </c>
      <c r="AA863" t="s">
        <v>241</v>
      </c>
      <c r="AB863" t="s">
        <v>238</v>
      </c>
      <c r="AC863" t="s">
        <v>238</v>
      </c>
      <c r="AD863" s="2" t="s">
        <v>238</v>
      </c>
      <c r="AE863" s="2" t="s">
        <v>253</v>
      </c>
      <c r="AF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3" s="2" t="str">
        <f>SUBSTITUTE(SUBSTITUTE(PROPERTIES[[#This Row],[PURCHASECOST_VALUE]], "PURCHASECOST_", ""), "_VALUE", "")</f>
        <v>DIESELENGINE</v>
      </c>
      <c r="AI863" s="7" t="str" cm="1">
        <f t="array" ref="AI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3" s="43" t="b">
        <v>0</v>
      </c>
      <c r="AK863" s="8" t="b">
        <v>0</v>
      </c>
      <c r="BA863" s="7"/>
      <c r="BB863" s="8"/>
      <c r="BC863" s="9"/>
      <c r="BD863"/>
    </row>
    <row r="864" spans="1:56">
      <c r="A864" s="2" t="s">
        <v>3403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5" t="str">
        <f>_xlfn.XLOOKUP(PROPERTIES[[#This Row],[VEHIDCODE]],CONTROL[VEHIDCODE],CONTROL[ENGLISH])</f>
        <v>EMD/Clyde G26C X2</v>
      </c>
      <c r="F864" t="s">
        <v>580</v>
      </c>
      <c r="G864" s="45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8">
        <v>116</v>
      </c>
      <c r="R864">
        <v>2000</v>
      </c>
      <c r="S864">
        <v>133</v>
      </c>
      <c r="T864" s="25">
        <v>350</v>
      </c>
      <c r="U864" s="25">
        <f>IFERROR(PROPERTIES[[#This Row],[TE_STARTING_KN]]/(PROPERTIES[[#This Row],[WEIGHT]]*9.81),0)</f>
        <v>0.30756792857393933</v>
      </c>
      <c r="V864" s="25">
        <v>0</v>
      </c>
      <c r="W864" s="21">
        <f>ROUND(IF(IFERROR(PROPERTIES[[#This Row],[TE_COEFFICIENT_CALC]],0)=0,PROPERTIES[[#This Row],[TE_COEFFICIENT_MANUAL]],PROPERTIES[[#This Row],[TE_COEFFICIENT_CALC]]),3)</f>
        <v>0.308</v>
      </c>
      <c r="X864" s="32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1">
        <v>0</v>
      </c>
      <c r="Z864" s="7">
        <v>0</v>
      </c>
      <c r="AA864" t="s">
        <v>241</v>
      </c>
      <c r="AB864" t="s">
        <v>238</v>
      </c>
      <c r="AC864" t="s">
        <v>238</v>
      </c>
      <c r="AD864" s="2" t="s">
        <v>238</v>
      </c>
      <c r="AE864" s="2" t="s">
        <v>253</v>
      </c>
      <c r="AF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4" s="2" t="str">
        <f>SUBSTITUTE(SUBSTITUTE(PROPERTIES[[#This Row],[PURCHASECOST_VALUE]], "PURCHASECOST_", ""), "_VALUE", "")</f>
        <v>DIESELENGINE</v>
      </c>
      <c r="AI864" s="7" t="str" cm="1">
        <f t="array" ref="AI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4" s="43" t="b">
        <v>0</v>
      </c>
      <c r="AK864" s="8" t="b">
        <v>1</v>
      </c>
      <c r="BA864" s="7"/>
      <c r="BB864" s="8"/>
      <c r="BC864" s="9"/>
      <c r="BD864"/>
    </row>
    <row r="865" spans="1:56">
      <c r="A865" s="2" t="s">
        <v>3404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5" t="str">
        <f>_xlfn.XLOOKUP(PROPERTIES[[#This Row],[VEHIDCODE]],CONTROL[VEHIDCODE],CONTROL[ENGLISH])</f>
        <v>EMD/Clyde G26C X3</v>
      </c>
      <c r="F865" t="s">
        <v>580</v>
      </c>
      <c r="G865" s="45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8">
        <v>116</v>
      </c>
      <c r="R865">
        <v>2200</v>
      </c>
      <c r="S865">
        <v>133</v>
      </c>
      <c r="T865" s="25">
        <v>370</v>
      </c>
      <c r="U865" s="25">
        <f>IFERROR(PROPERTIES[[#This Row],[TE_STARTING_KN]]/(PROPERTIES[[#This Row],[WEIGHT]]*9.81),0)</f>
        <v>0.32514323877816442</v>
      </c>
      <c r="V865" s="25">
        <v>0</v>
      </c>
      <c r="W865" s="21">
        <f>ROUND(IF(IFERROR(PROPERTIES[[#This Row],[TE_COEFFICIENT_CALC]],0)=0,PROPERTIES[[#This Row],[TE_COEFFICIENT_MANUAL]],PROPERTIES[[#This Row],[TE_COEFFICIENT_CALC]]),3)</f>
        <v>0.32500000000000001</v>
      </c>
      <c r="X865" s="32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1">
        <v>0</v>
      </c>
      <c r="Z865" s="7">
        <v>0</v>
      </c>
      <c r="AA865" t="s">
        <v>241</v>
      </c>
      <c r="AB865" t="s">
        <v>238</v>
      </c>
      <c r="AC865" t="s">
        <v>238</v>
      </c>
      <c r="AD865" s="2" t="s">
        <v>238</v>
      </c>
      <c r="AE865" s="2" t="s">
        <v>253</v>
      </c>
      <c r="AF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5" s="2" t="str">
        <f>SUBSTITUTE(SUBSTITUTE(PROPERTIES[[#This Row],[PURCHASECOST_VALUE]], "PURCHASECOST_", ""), "_VALUE", "")</f>
        <v>DIESELENGINE</v>
      </c>
      <c r="AI865" s="7" t="str" cm="1">
        <f t="array" ref="AI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5" s="43" t="b">
        <v>0</v>
      </c>
      <c r="AK865" s="8" t="b">
        <v>1</v>
      </c>
      <c r="BA865" s="7"/>
      <c r="BB865" s="8"/>
      <c r="BC865" s="9"/>
      <c r="BD865"/>
    </row>
    <row r="866" spans="1:56">
      <c r="A866" s="2" t="s">
        <v>3405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5" t="str">
        <f>_xlfn.XLOOKUP(PROPERTIES[[#This Row],[VEHIDCODE]],CONTROL[VEHIDCODE],CONTROL[ENGLISH])</f>
        <v>ALCO/Comeng CE615A</v>
      </c>
      <c r="F866" t="s">
        <v>580</v>
      </c>
      <c r="G866" s="45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8">
        <v>122</v>
      </c>
      <c r="R866">
        <v>2150</v>
      </c>
      <c r="S866">
        <v>120</v>
      </c>
      <c r="T866" s="25">
        <v>356</v>
      </c>
      <c r="U866" s="25">
        <f>IFERROR(PROPERTIES[[#This Row],[TE_STARTING_KN]]/(PROPERTIES[[#This Row],[WEIGHT]]*9.81),0)</f>
        <v>0.2974549222105245</v>
      </c>
      <c r="V866" s="25">
        <v>0</v>
      </c>
      <c r="W866" s="21">
        <f>ROUND(IF(IFERROR(PROPERTIES[[#This Row],[TE_COEFFICIENT_CALC]],0)=0,PROPERTIES[[#This Row],[TE_COEFFICIENT_MANUAL]],PROPERTIES[[#This Row],[TE_COEFFICIENT_CALC]]),3)</f>
        <v>0.29699999999999999</v>
      </c>
      <c r="X866" s="32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1">
        <v>0</v>
      </c>
      <c r="Z866" s="7">
        <v>0</v>
      </c>
      <c r="AA866" t="s">
        <v>241</v>
      </c>
      <c r="AB866" t="s">
        <v>238</v>
      </c>
      <c r="AC866" t="s">
        <v>238</v>
      </c>
      <c r="AD866" s="2" t="s">
        <v>238</v>
      </c>
      <c r="AE866" s="2" t="s">
        <v>253</v>
      </c>
      <c r="AF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6" s="2" t="str">
        <f>SUBSTITUTE(SUBSTITUTE(PROPERTIES[[#This Row],[PURCHASECOST_VALUE]], "PURCHASECOST_", ""), "_VALUE", "")</f>
        <v>DIESELENGINE</v>
      </c>
      <c r="AI866" s="7" t="str" cm="1">
        <f t="array" ref="AI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6" s="43" t="b">
        <v>0</v>
      </c>
      <c r="AK866" s="8" t="b">
        <v>0</v>
      </c>
      <c r="BA866" s="7"/>
      <c r="BB866" s="8"/>
      <c r="BC866" s="9"/>
      <c r="BD866"/>
    </row>
    <row r="867" spans="1:56">
      <c r="A867" t="s">
        <v>3406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5" t="str">
        <f>_xlfn.XLOOKUP(PROPERTIES[[#This Row],[VEHIDCODE]],CONTROL[VEHIDCODE],CONTROL[ENGLISH])</f>
        <v>Comeng Class 85</v>
      </c>
      <c r="F867" t="s">
        <v>580</v>
      </c>
      <c r="G867" s="45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8">
        <v>123</v>
      </c>
      <c r="R867">
        <v>3860</v>
      </c>
      <c r="S867">
        <v>130</v>
      </c>
      <c r="T867" s="25">
        <v>341</v>
      </c>
      <c r="U867" s="25">
        <f>IFERROR(PROPERTIES[[#This Row],[TE_STARTING_KN]]/(PROPERTIES[[#This Row],[WEIGHT]]*9.81),0)</f>
        <v>0.28260527253590578</v>
      </c>
      <c r="V867" s="25">
        <v>0</v>
      </c>
      <c r="W867" s="21">
        <f>ROUND(IF(IFERROR(PROPERTIES[[#This Row],[TE_COEFFICIENT_CALC]],0)=0,PROPERTIES[[#This Row],[TE_COEFFICIENT_MANUAL]],PROPERTIES[[#This Row],[TE_COEFFICIENT_CALC]]),3)</f>
        <v>0.28299999999999997</v>
      </c>
      <c r="X867" s="32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1">
        <v>0</v>
      </c>
      <c r="Z867" s="7">
        <v>0</v>
      </c>
      <c r="AA867" t="s">
        <v>241</v>
      </c>
      <c r="AB867" t="s">
        <v>238</v>
      </c>
      <c r="AC867" t="s">
        <v>238</v>
      </c>
      <c r="AD867" s="2" t="s">
        <v>238</v>
      </c>
      <c r="AE867" s="2" t="s">
        <v>253</v>
      </c>
      <c r="AF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7" s="2" t="str">
        <f>SUBSTITUTE(SUBSTITUTE(PROPERTIES[[#This Row],[PURCHASECOST_VALUE]], "PURCHASECOST_", ""), "_VALUE", "")</f>
        <v>ELECTRICENGINE</v>
      </c>
      <c r="AI867" s="7" t="str" cm="1">
        <f t="array" ref="AI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7" s="43" t="b">
        <v>0</v>
      </c>
      <c r="AK867" s="8" t="b">
        <v>0</v>
      </c>
      <c r="BA867" s="7"/>
      <c r="BB867" s="8"/>
      <c r="BC867" s="9"/>
      <c r="BD867"/>
    </row>
    <row r="868" spans="1:56">
      <c r="A868" s="2" t="s">
        <v>3407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5" t="str">
        <f>_xlfn.XLOOKUP(PROPERTIES[[#This Row],[VEHIDCODE]],CONTROL[VEHIDCODE],CONTROL[ENGLISH])</f>
        <v>Comeng Maldon-Dombarton '8650'</v>
      </c>
      <c r="F868" t="s">
        <v>580</v>
      </c>
      <c r="G868" s="45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8">
        <v>120</v>
      </c>
      <c r="R868">
        <v>5000</v>
      </c>
      <c r="S868">
        <v>110</v>
      </c>
      <c r="T868" s="25">
        <v>450</v>
      </c>
      <c r="U868" s="25">
        <f>IFERROR(PROPERTIES[[#This Row],[TE_STARTING_KN]]/(PROPERTIES[[#This Row],[WEIGHT]]*9.81),0)</f>
        <v>0.38226299694189603</v>
      </c>
      <c r="V868" s="25">
        <v>0</v>
      </c>
      <c r="W868" s="21">
        <f>ROUND(IF(IFERROR(PROPERTIES[[#This Row],[TE_COEFFICIENT_CALC]],0)=0,PROPERTIES[[#This Row],[TE_COEFFICIENT_MANUAL]],PROPERTIES[[#This Row],[TE_COEFFICIENT_CALC]]),3)</f>
        <v>0.38200000000000001</v>
      </c>
      <c r="X868" s="32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1">
        <v>0</v>
      </c>
      <c r="Z868" s="7">
        <v>0</v>
      </c>
      <c r="AA868" t="s">
        <v>241</v>
      </c>
      <c r="AB868" t="s">
        <v>238</v>
      </c>
      <c r="AC868" t="s">
        <v>238</v>
      </c>
      <c r="AD868" s="2" t="s">
        <v>238</v>
      </c>
      <c r="AE868" s="2" t="s">
        <v>254</v>
      </c>
      <c r="AF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8" s="2" t="str">
        <f>SUBSTITUTE(SUBSTITUTE(PROPERTIES[[#This Row],[PURCHASECOST_VALUE]], "PURCHASECOST_", ""), "_VALUE", "")</f>
        <v>ELECTRICENGINE</v>
      </c>
      <c r="AI868" s="7" t="str" cm="1">
        <f t="array" ref="AI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8" s="43" t="b">
        <v>0</v>
      </c>
      <c r="AK868" s="8" t="b">
        <v>0</v>
      </c>
      <c r="BA868" s="7"/>
      <c r="BB868" s="8"/>
      <c r="BC868" s="9"/>
      <c r="BD868"/>
    </row>
    <row r="869" spans="1:56">
      <c r="A869" s="2" t="s">
        <v>3408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5" t="str">
        <f>_xlfn.XLOOKUP(PROPERTIES[[#This Row],[VEHIDCODE]],CONTROL[VEHIDCODE],CONTROL[ENGLISH])</f>
        <v>EMD/NOHAB J30C-2DSB MZ III</v>
      </c>
      <c r="F869" t="s">
        <v>580</v>
      </c>
      <c r="G869" s="45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8">
        <v>121.1</v>
      </c>
      <c r="R869">
        <v>3845</v>
      </c>
      <c r="S869">
        <v>165</v>
      </c>
      <c r="T869" s="25">
        <v>390</v>
      </c>
      <c r="U869" s="25">
        <f>IFERROR(PROPERTIES[[#This Row],[TE_STARTING_KN]]/(PROPERTIES[[#This Row],[WEIGHT]]*9.81),0)</f>
        <v>0.32828531529279265</v>
      </c>
      <c r="V869" s="25">
        <v>0</v>
      </c>
      <c r="W869" s="21">
        <f>ROUND(IF(IFERROR(PROPERTIES[[#This Row],[TE_COEFFICIENT_CALC]],0)=0,PROPERTIES[[#This Row],[TE_COEFFICIENT_MANUAL]],PROPERTIES[[#This Row],[TE_COEFFICIENT_CALC]]),3)</f>
        <v>0.32800000000000001</v>
      </c>
      <c r="X869" s="32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1">
        <v>0</v>
      </c>
      <c r="Z869" s="7">
        <v>0</v>
      </c>
      <c r="AA869" t="s">
        <v>241</v>
      </c>
      <c r="AB869" t="s">
        <v>243</v>
      </c>
      <c r="AC869" t="s">
        <v>238</v>
      </c>
      <c r="AD869" s="2" t="s">
        <v>238</v>
      </c>
      <c r="AE869" s="2" t="s">
        <v>253</v>
      </c>
      <c r="AF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9" s="2" t="str">
        <f>SUBSTITUTE(SUBSTITUTE(PROPERTIES[[#This Row],[PURCHASECOST_VALUE]], "PURCHASECOST_", ""), "_VALUE", "")</f>
        <v>DIESELENGINE</v>
      </c>
      <c r="AI869" s="7" t="str" cm="1">
        <f t="array" ref="AI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9" s="43" t="b">
        <v>0</v>
      </c>
      <c r="AK869" s="8" t="b">
        <v>0</v>
      </c>
      <c r="BA869" s="7"/>
      <c r="BB869" s="8"/>
      <c r="BC869" s="9"/>
      <c r="BD869"/>
    </row>
    <row r="870" spans="1:56">
      <c r="A870" s="2" t="s">
        <v>3409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5" t="str">
        <f>_xlfn.XLOOKUP(PROPERTIES[[#This Row],[VEHIDCODE]],CONTROL[VEHIDCODE],CONTROL[ENGLISH])</f>
        <v>EMD/Clyde AT26C 'Twin 16-645'</v>
      </c>
      <c r="F870" t="s">
        <v>580</v>
      </c>
      <c r="G870" s="45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8">
        <v>200</v>
      </c>
      <c r="R870">
        <v>6600</v>
      </c>
      <c r="S870">
        <v>115</v>
      </c>
      <c r="T870" s="25">
        <v>600</v>
      </c>
      <c r="U870" s="25">
        <f>IFERROR(PROPERTIES[[#This Row],[TE_STARTING_KN]]/(PROPERTIES[[#This Row],[WEIGHT]]*9.81),0)</f>
        <v>0.3058103975535168</v>
      </c>
      <c r="V870" s="25">
        <v>0</v>
      </c>
      <c r="W870" s="21">
        <f>ROUND(IF(IFERROR(PROPERTIES[[#This Row],[TE_COEFFICIENT_CALC]],0)=0,PROPERTIES[[#This Row],[TE_COEFFICIENT_MANUAL]],PROPERTIES[[#This Row],[TE_COEFFICIENT_CALC]]),3)</f>
        <v>0.30599999999999999</v>
      </c>
      <c r="X870" s="32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1">
        <v>0</v>
      </c>
      <c r="Z870" s="7">
        <v>1</v>
      </c>
      <c r="AA870" t="s">
        <v>241</v>
      </c>
      <c r="AB870" t="s">
        <v>238</v>
      </c>
      <c r="AC870" t="s">
        <v>238</v>
      </c>
      <c r="AD870" s="2" t="s">
        <v>238</v>
      </c>
      <c r="AE870" s="2" t="s">
        <v>254</v>
      </c>
      <c r="AF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0" s="2" t="str">
        <f>SUBSTITUTE(SUBSTITUTE(PROPERTIES[[#This Row],[PURCHASECOST_VALUE]], "PURCHASECOST_", ""), "_VALUE", "")</f>
        <v>DIESELENGINE</v>
      </c>
      <c r="AI870" s="7" t="str" cm="1">
        <f t="array" ref="AI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70" s="43" t="b">
        <v>0</v>
      </c>
      <c r="AK870" s="8" t="b">
        <v>0</v>
      </c>
      <c r="BA870" s="7"/>
      <c r="BB870" s="8"/>
      <c r="BC870" s="9"/>
      <c r="BD870"/>
    </row>
    <row r="871" spans="1:56">
      <c r="A871" s="2" t="s">
        <v>3542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5" t="str">
        <f>_xlfn.XLOOKUP(PROPERTIES[[#This Row],[VEHIDCODE]],CONTROL[VEHIDCODE],CONTROL[ENGLISH])</f>
        <v>EMD/Clyde GL26C-2</v>
      </c>
      <c r="F871" t="s">
        <v>580</v>
      </c>
      <c r="G871" s="45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8">
        <v>97.5</v>
      </c>
      <c r="R871">
        <v>2201</v>
      </c>
      <c r="S871">
        <v>100</v>
      </c>
      <c r="T871" s="25">
        <v>286</v>
      </c>
      <c r="U871" s="25">
        <f>IFERROR(PROPERTIES[[#This Row],[TE_STARTING_KN]]/(PROPERTIES[[#This Row],[WEIGHT]]*9.81),0)</f>
        <v>0.29901461094121645</v>
      </c>
      <c r="V871" s="25">
        <v>0</v>
      </c>
      <c r="W871" s="21">
        <f>ROUND(IF(IFERROR(PROPERTIES[[#This Row],[TE_COEFFICIENT_CALC]],0)=0,PROPERTIES[[#This Row],[TE_COEFFICIENT_MANUAL]],PROPERTIES[[#This Row],[TE_COEFFICIENT_CALC]]),3)</f>
        <v>0.29899999999999999</v>
      </c>
      <c r="X871" s="32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1">
        <v>0</v>
      </c>
      <c r="Z871" s="7">
        <v>0</v>
      </c>
      <c r="AA871" t="s">
        <v>241</v>
      </c>
      <c r="AB871" t="s">
        <v>238</v>
      </c>
      <c r="AC871" t="s">
        <v>238</v>
      </c>
      <c r="AD871" s="2" t="s">
        <v>238</v>
      </c>
      <c r="AE871" s="2" t="s">
        <v>253</v>
      </c>
      <c r="AF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1" s="2" t="str">
        <f>SUBSTITUTE(SUBSTITUTE(PROPERTIES[[#This Row],[PURCHASECOST_VALUE]], "PURCHASECOST_", ""), "_VALUE", "")</f>
        <v>DIESELENGINE</v>
      </c>
      <c r="AI871" s="7" t="str" cm="1">
        <f t="array" ref="AI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1" s="43" t="b">
        <v>0</v>
      </c>
      <c r="AK871" s="8" t="b">
        <v>0</v>
      </c>
      <c r="BA871" s="7"/>
      <c r="BB871" s="8"/>
      <c r="BC871" s="9"/>
      <c r="BD871"/>
    </row>
    <row r="872" spans="1:56">
      <c r="A872" s="2" t="s">
        <v>3410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5" t="str">
        <f>_xlfn.XLOOKUP(PROPERTIES[[#This Row],[VEHIDCODE]],CONTROL[VEHIDCODE],CONTROL[ENGLISH])</f>
        <v xml:space="preserve">EEC A.249 </v>
      </c>
      <c r="F872" t="s">
        <v>580</v>
      </c>
      <c r="G872" s="45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8">
        <v>96</v>
      </c>
      <c r="R872">
        <v>2025</v>
      </c>
      <c r="S872">
        <v>97</v>
      </c>
      <c r="T872" s="25">
        <f>240*1.3</f>
        <v>312</v>
      </c>
      <c r="U872" s="25">
        <f>IFERROR(PROPERTIES[[#This Row],[TE_STARTING_KN]]/(PROPERTIES[[#This Row],[WEIGHT]]*9.81),0)</f>
        <v>0.33129459734964323</v>
      </c>
      <c r="V872" s="25">
        <v>0</v>
      </c>
      <c r="W872" s="21">
        <f>ROUND(IF(IFERROR(PROPERTIES[[#This Row],[TE_COEFFICIENT_CALC]],0)=0,PROPERTIES[[#This Row],[TE_COEFFICIENT_MANUAL]],PROPERTIES[[#This Row],[TE_COEFFICIENT_CALC]]),3)</f>
        <v>0.33100000000000002</v>
      </c>
      <c r="X872" s="32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1">
        <v>0</v>
      </c>
      <c r="Z872" s="7">
        <v>0</v>
      </c>
      <c r="AA872" t="s">
        <v>241</v>
      </c>
      <c r="AB872" t="s">
        <v>238</v>
      </c>
      <c r="AC872" t="s">
        <v>238</v>
      </c>
      <c r="AD872" s="2" t="s">
        <v>238</v>
      </c>
      <c r="AE872" s="2" t="s">
        <v>253</v>
      </c>
      <c r="AF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2" s="2" t="str">
        <f>SUBSTITUTE(SUBSTITUTE(PROPERTIES[[#This Row],[PURCHASECOST_VALUE]], "PURCHASECOST_", ""), "_VALUE", "")</f>
        <v>DIESELENGINE</v>
      </c>
      <c r="AI872" s="7" t="str" cm="1">
        <f t="array" ref="AI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2" s="43" t="b">
        <v>0</v>
      </c>
      <c r="AK872" s="8" t="b">
        <v>0</v>
      </c>
      <c r="BA872" s="7"/>
      <c r="BB872" s="8"/>
      <c r="BC872" s="9"/>
      <c r="BD872"/>
    </row>
    <row r="873" spans="1:56">
      <c r="A873" s="2" t="s">
        <v>3411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5" t="str">
        <f>_xlfn.XLOOKUP(PROPERTIES[[#This Row],[VEHIDCODE]],CONTROL[VEHIDCODE],CONTROL[ENGLISH])</f>
        <v>EEC A.253</v>
      </c>
      <c r="F873" t="s">
        <v>580</v>
      </c>
      <c r="G873" s="45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8">
        <v>91.4</v>
      </c>
      <c r="R873">
        <v>2550</v>
      </c>
      <c r="S873">
        <v>80</v>
      </c>
      <c r="T873" s="25">
        <v>200</v>
      </c>
      <c r="U873" s="25">
        <f>IFERROR(PROPERTIES[[#This Row],[TE_STARTING_KN]]/(PROPERTIES[[#This Row],[WEIGHT]]*9.81),0)</f>
        <v>0.22305645335778029</v>
      </c>
      <c r="V873" s="25">
        <v>0</v>
      </c>
      <c r="W873" s="21">
        <f>ROUND(IF(IFERROR(PROPERTIES[[#This Row],[TE_COEFFICIENT_CALC]],0)=0,PROPERTIES[[#This Row],[TE_COEFFICIENT_MANUAL]],PROPERTIES[[#This Row],[TE_COEFFICIENT_CALC]]),3)</f>
        <v>0.223</v>
      </c>
      <c r="X873" s="32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1">
        <v>0</v>
      </c>
      <c r="Z873" s="7">
        <v>0</v>
      </c>
      <c r="AA873" t="s">
        <v>241</v>
      </c>
      <c r="AB873" t="s">
        <v>238</v>
      </c>
      <c r="AC873" t="s">
        <v>238</v>
      </c>
      <c r="AD873" s="2" t="s">
        <v>238</v>
      </c>
      <c r="AE873" s="2" t="s">
        <v>253</v>
      </c>
      <c r="AF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3" s="2" t="str">
        <f>SUBSTITUTE(SUBSTITUTE(PROPERTIES[[#This Row],[PURCHASECOST_VALUE]], "PURCHASECOST_", ""), "_VALUE", "")</f>
        <v>DIESELENGINE</v>
      </c>
      <c r="AI873" s="7" t="str" cm="1">
        <f t="array" ref="AI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3" s="43" t="b">
        <v>0</v>
      </c>
      <c r="AK873" s="8" t="b">
        <v>0</v>
      </c>
      <c r="BA873" s="7"/>
      <c r="BB873" s="8"/>
      <c r="BC873" s="9"/>
      <c r="BD873"/>
    </row>
    <row r="874" spans="1:56">
      <c r="A874" s="2" t="s">
        <v>3412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5" t="str">
        <f>_xlfn.XLOOKUP(PROPERTIES[[#This Row],[VEHIDCODE]],CONTROL[VEHIDCODE],CONTROL[ENGLISH])</f>
        <v>GE U26C</v>
      </c>
      <c r="F874" t="s">
        <v>736</v>
      </c>
      <c r="G874" s="45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8">
        <v>97.5</v>
      </c>
      <c r="R874">
        <v>2750</v>
      </c>
      <c r="S874">
        <v>105</v>
      </c>
      <c r="T874" s="25">
        <f>259*1.3</f>
        <v>336.7</v>
      </c>
      <c r="U874" s="25">
        <f>IFERROR(PROPERTIES[[#This Row],[TE_STARTING_KN]]/(PROPERTIES[[#This Row],[WEIGHT]]*9.81),0)</f>
        <v>0.35202174651715934</v>
      </c>
      <c r="V874" s="25">
        <v>0</v>
      </c>
      <c r="W874" s="21">
        <f>ROUND(IF(IFERROR(PROPERTIES[[#This Row],[TE_COEFFICIENT_CALC]],0)=0,PROPERTIES[[#This Row],[TE_COEFFICIENT_MANUAL]],PROPERTIES[[#This Row],[TE_COEFFICIENT_CALC]]),3)</f>
        <v>0.35199999999999998</v>
      </c>
      <c r="X874" s="32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1">
        <v>0</v>
      </c>
      <c r="Z874" s="7">
        <v>0</v>
      </c>
      <c r="AA874" t="s">
        <v>241</v>
      </c>
      <c r="AB874" t="s">
        <v>242</v>
      </c>
      <c r="AC874" t="s">
        <v>246</v>
      </c>
      <c r="AD874" s="2" t="s">
        <v>238</v>
      </c>
      <c r="AE874" s="2" t="s">
        <v>253</v>
      </c>
      <c r="AF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4" s="2" t="str">
        <f>SUBSTITUTE(SUBSTITUTE(PROPERTIES[[#This Row],[PURCHASECOST_VALUE]], "PURCHASECOST_", ""), "_VALUE", "")</f>
        <v>DIESELENGINE</v>
      </c>
      <c r="AI874" s="7" t="str" cm="1">
        <f t="array" ref="AI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4" s="43" t="b">
        <v>0</v>
      </c>
      <c r="AK874" s="8" t="b">
        <v>0</v>
      </c>
      <c r="BA874" s="7"/>
      <c r="BB874" s="8"/>
      <c r="BC874" s="9"/>
      <c r="BD874"/>
    </row>
    <row r="875" spans="1:56">
      <c r="A875" s="2" t="s">
        <v>3413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5" t="str">
        <f>_xlfn.XLOOKUP(PROPERTIES[[#This Row],[VEHIDCODE]],CONTROL[VEHIDCODE],CONTROL[ENGLISH])</f>
        <v>Metrowick/BP 786</v>
      </c>
      <c r="F875" t="s">
        <v>580</v>
      </c>
      <c r="G875" s="45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8">
        <v>112</v>
      </c>
      <c r="R875">
        <v>3400</v>
      </c>
      <c r="S875">
        <v>113</v>
      </c>
      <c r="T875" s="25">
        <f>181*1.3</f>
        <v>235.3</v>
      </c>
      <c r="U875" s="25">
        <f>IFERROR(PROPERTIES[[#This Row],[TE_STARTING_KN]]/(PROPERTIES[[#This Row],[WEIGHT]]*9.81),0)</f>
        <v>0.21415829328673366</v>
      </c>
      <c r="V875" s="25">
        <v>0</v>
      </c>
      <c r="W875" s="21">
        <f>ROUND(IF(IFERROR(PROPERTIES[[#This Row],[TE_COEFFICIENT_CALC]],0)=0,PROPERTIES[[#This Row],[TE_COEFFICIENT_MANUAL]],PROPERTIES[[#This Row],[TE_COEFFICIENT_CALC]]),3)</f>
        <v>0.214</v>
      </c>
      <c r="X875" s="32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1">
        <v>0</v>
      </c>
      <c r="Z875" s="7">
        <v>0</v>
      </c>
      <c r="AA875" t="s">
        <v>241</v>
      </c>
      <c r="AB875" t="s">
        <v>238</v>
      </c>
      <c r="AC875" t="s">
        <v>238</v>
      </c>
      <c r="AD875" s="2" t="s">
        <v>238</v>
      </c>
      <c r="AE875" s="2" t="s">
        <v>254</v>
      </c>
      <c r="AF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75" s="2" t="str">
        <f>SUBSTITUTE(SUBSTITUTE(PROPERTIES[[#This Row],[PURCHASECOST_VALUE]], "PURCHASECOST_", ""), "_VALUE", "")</f>
        <v>ELECTRICENGINE</v>
      </c>
      <c r="AI875" s="7" t="str" cm="1">
        <f t="array" ref="AI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5" s="43" t="b">
        <v>0</v>
      </c>
      <c r="AK875" s="8" t="b">
        <v>0</v>
      </c>
      <c r="BA875" s="7"/>
      <c r="BB875" s="8"/>
      <c r="BC875" s="9"/>
      <c r="BD875"/>
    </row>
    <row r="876" spans="1:56">
      <c r="A876" s="2" t="s">
        <v>3414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5" t="str">
        <f>_xlfn.XLOOKUP(PROPERTIES[[#This Row],[VEHIDCODE]],CONTROL[VEHIDCODE],CONTROL[ENGLISH])</f>
        <v>ALCO RSC-3 77732</v>
      </c>
      <c r="F876" t="s">
        <v>580</v>
      </c>
      <c r="G876" s="45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8">
        <v>111</v>
      </c>
      <c r="R876">
        <v>1750</v>
      </c>
      <c r="S876">
        <v>75</v>
      </c>
      <c r="T876" s="25">
        <f>204*1.3</f>
        <v>265.2</v>
      </c>
      <c r="U876" s="25">
        <f>IFERROR(PROPERTIES[[#This Row],[TE_STARTING_KN]]/(PROPERTIES[[#This Row],[WEIGHT]]*9.81),0)</f>
        <v>0.24354629859217011</v>
      </c>
      <c r="V876" s="25">
        <v>0</v>
      </c>
      <c r="W876" s="21">
        <f>ROUND(IF(IFERROR(PROPERTIES[[#This Row],[TE_COEFFICIENT_CALC]],0)=0,PROPERTIES[[#This Row],[TE_COEFFICIENT_MANUAL]],PROPERTIES[[#This Row],[TE_COEFFICIENT_CALC]]),3)</f>
        <v>0.24399999999999999</v>
      </c>
      <c r="X876" s="32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1">
        <v>0</v>
      </c>
      <c r="Z876" s="7">
        <v>0</v>
      </c>
      <c r="AA876" t="s">
        <v>241</v>
      </c>
      <c r="AB876" t="s">
        <v>238</v>
      </c>
      <c r="AC876" t="s">
        <v>238</v>
      </c>
      <c r="AD876" s="2" t="s">
        <v>238</v>
      </c>
      <c r="AE876" s="2" t="s">
        <v>253</v>
      </c>
      <c r="AF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6" s="2" t="str">
        <f>SUBSTITUTE(SUBSTITUTE(PROPERTIES[[#This Row],[PURCHASECOST_VALUE]], "PURCHASECOST_", ""), "_VALUE", "")</f>
        <v>DIESELENGINE</v>
      </c>
      <c r="AI876" s="7" t="str" cm="1">
        <f t="array" ref="AI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76" s="43" t="b">
        <v>0</v>
      </c>
      <c r="AK876" s="8" t="b">
        <v>1</v>
      </c>
      <c r="BA876" s="7"/>
      <c r="BB876" s="8"/>
      <c r="BC876" s="9"/>
      <c r="BD876"/>
    </row>
    <row r="877" spans="1:56">
      <c r="A877" s="2" t="s">
        <v>3415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5" t="str">
        <f>_xlfn.XLOOKUP(PROPERTIES[[#This Row],[VEHIDCODE]],CONTROL[VEHIDCODE],CONTROL[ENGLISH])</f>
        <v>EMD/Clyde G8C</v>
      </c>
      <c r="F877" t="s">
        <v>580</v>
      </c>
      <c r="G877" s="45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8">
        <v>80</v>
      </c>
      <c r="R877">
        <v>950</v>
      </c>
      <c r="S877">
        <v>124</v>
      </c>
      <c r="T877" s="25">
        <f>165*1.3</f>
        <v>214.5</v>
      </c>
      <c r="U877" s="25">
        <f>IFERROR(PROPERTIES[[#This Row],[TE_STARTING_KN]]/(PROPERTIES[[#This Row],[WEIGHT]]*9.81),0)</f>
        <v>0.27331804281345562</v>
      </c>
      <c r="V877" s="25">
        <v>0</v>
      </c>
      <c r="W877" s="21">
        <f>ROUND(IF(IFERROR(PROPERTIES[[#This Row],[TE_COEFFICIENT_CALC]],0)=0,PROPERTIES[[#This Row],[TE_COEFFICIENT_MANUAL]],PROPERTIES[[#This Row],[TE_COEFFICIENT_CALC]]),3)</f>
        <v>0.27300000000000002</v>
      </c>
      <c r="X877" s="32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1">
        <v>0</v>
      </c>
      <c r="Z877" s="7">
        <v>0</v>
      </c>
      <c r="AA877" t="s">
        <v>241</v>
      </c>
      <c r="AB877" t="s">
        <v>238</v>
      </c>
      <c r="AC877" t="s">
        <v>238</v>
      </c>
      <c r="AD877" s="2" t="s">
        <v>238</v>
      </c>
      <c r="AE877" s="2" t="s">
        <v>253</v>
      </c>
      <c r="AF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7" s="2" t="str">
        <f>SUBSTITUTE(SUBSTITUTE(PROPERTIES[[#This Row],[PURCHASECOST_VALUE]], "PURCHASECOST_", ""), "_VALUE", "")</f>
        <v>DIESELENGINE</v>
      </c>
      <c r="AI877" s="7" t="str" cm="1">
        <f t="array" ref="AI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7" s="43" t="b">
        <v>0</v>
      </c>
      <c r="AK877" s="8" t="b">
        <v>0</v>
      </c>
      <c r="BA877" s="7"/>
      <c r="BB877" s="8"/>
      <c r="BC877" s="9"/>
      <c r="BD877"/>
    </row>
    <row r="878" spans="1:56">
      <c r="A878" s="2" t="s">
        <v>3416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5" t="str">
        <f>_xlfn.XLOOKUP(PROPERTIES[[#This Row],[VEHIDCODE]],CONTROL[VEHIDCODE],CONTROL[ENGLISH])</f>
        <v>EMD/Clyde G12</v>
      </c>
      <c r="F878" t="s">
        <v>736</v>
      </c>
      <c r="G878" s="45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8">
        <v>79</v>
      </c>
      <c r="R878">
        <v>1420</v>
      </c>
      <c r="S878">
        <v>100</v>
      </c>
      <c r="T878" s="25">
        <v>140</v>
      </c>
      <c r="U878" s="25">
        <f>IFERROR(PROPERTIES[[#This Row],[TE_STARTING_KN]]/(PROPERTIES[[#This Row],[WEIGHT]]*9.81),0)</f>
        <v>0.18064749222570614</v>
      </c>
      <c r="V878" s="25">
        <v>0</v>
      </c>
      <c r="W878" s="21">
        <f>ROUND(IF(IFERROR(PROPERTIES[[#This Row],[TE_COEFFICIENT_CALC]],0)=0,PROPERTIES[[#This Row],[TE_COEFFICIENT_MANUAL]],PROPERTIES[[#This Row],[TE_COEFFICIENT_CALC]]),3)</f>
        <v>0.18099999999999999</v>
      </c>
      <c r="X878" s="32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1">
        <v>0</v>
      </c>
      <c r="Z878" s="7">
        <v>0</v>
      </c>
      <c r="AA878" t="s">
        <v>241</v>
      </c>
      <c r="AB878" t="s">
        <v>238</v>
      </c>
      <c r="AC878" t="s">
        <v>238</v>
      </c>
      <c r="AD878" s="2" t="s">
        <v>238</v>
      </c>
      <c r="AE878" s="2" t="s">
        <v>253</v>
      </c>
      <c r="AF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8" s="2" t="str">
        <f>SUBSTITUTE(SUBSTITUTE(PROPERTIES[[#This Row],[PURCHASECOST_VALUE]], "PURCHASECOST_", ""), "_VALUE", "")</f>
        <v>DIESELENGINE</v>
      </c>
      <c r="AI878" s="7" t="str" cm="1">
        <f t="array" ref="AI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8" s="43" t="b">
        <v>0</v>
      </c>
      <c r="AK878" s="8" t="b">
        <v>1</v>
      </c>
      <c r="BA878" s="7"/>
      <c r="BB878" s="8"/>
      <c r="BC878" s="9"/>
      <c r="BD878"/>
    </row>
    <row r="879" spans="1:56">
      <c r="A879" s="2" t="s">
        <v>3417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5" t="str">
        <f>_xlfn.XLOOKUP(PROPERTIES[[#This Row],[VEHIDCODE]],CONTROL[VEHIDCODE],CONTROL[ENGLISH])</f>
        <v>EMD/Clyde G8</v>
      </c>
      <c r="F879" t="s">
        <v>736</v>
      </c>
      <c r="G879" s="45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8">
        <v>69</v>
      </c>
      <c r="R879">
        <v>951</v>
      </c>
      <c r="S879">
        <v>100</v>
      </c>
      <c r="T879" s="25">
        <v>100</v>
      </c>
      <c r="U879" s="25">
        <f>IFERROR(PROPERTIES[[#This Row],[TE_STARTING_KN]]/(PROPERTIES[[#This Row],[WEIGHT]]*9.81),0)</f>
        <v>0.14773449157174726</v>
      </c>
      <c r="V879" s="25">
        <v>0</v>
      </c>
      <c r="W879" s="21">
        <f>ROUND(IF(IFERROR(PROPERTIES[[#This Row],[TE_COEFFICIENT_CALC]],0)=0,PROPERTIES[[#This Row],[TE_COEFFICIENT_MANUAL]],PROPERTIES[[#This Row],[TE_COEFFICIENT_CALC]]),3)</f>
        <v>0.14799999999999999</v>
      </c>
      <c r="X879" s="32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1">
        <v>0</v>
      </c>
      <c r="Z879" s="7">
        <v>0</v>
      </c>
      <c r="AA879" t="s">
        <v>241</v>
      </c>
      <c r="AB879" t="s">
        <v>238</v>
      </c>
      <c r="AC879" t="s">
        <v>238</v>
      </c>
      <c r="AD879" s="2" t="s">
        <v>238</v>
      </c>
      <c r="AE879" s="2" t="s">
        <v>253</v>
      </c>
      <c r="AF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9" s="2" t="str">
        <f>SUBSTITUTE(SUBSTITUTE(PROPERTIES[[#This Row],[PURCHASECOST_VALUE]], "PURCHASECOST_", ""), "_VALUE", "")</f>
        <v>DIESELENGINE</v>
      </c>
      <c r="AI879" s="7" t="str" cm="1">
        <f t="array" ref="AI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9" s="43" t="b">
        <v>0</v>
      </c>
      <c r="AK879" s="8" t="b">
        <v>0</v>
      </c>
      <c r="BA879" s="7"/>
      <c r="BB879" s="8"/>
      <c r="BC879" s="9"/>
      <c r="BD879"/>
    </row>
    <row r="880" spans="1:56">
      <c r="A880" s="2" t="s">
        <v>3418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5" t="str">
        <f>_xlfn.XLOOKUP(PROPERTIES[[#This Row],[VEHIDCODE]],CONTROL[VEHIDCODE],CONTROL[ENGLISH])</f>
        <v>Goninan 47 Class</v>
      </c>
      <c r="F880" t="s">
        <v>580</v>
      </c>
      <c r="G880" s="45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8">
        <v>85.3</v>
      </c>
      <c r="R880">
        <v>1126</v>
      </c>
      <c r="S880">
        <v>113</v>
      </c>
      <c r="T880" s="25">
        <f>171*1.3</f>
        <v>222.3</v>
      </c>
      <c r="U880" s="25">
        <f>IFERROR(PROPERTIES[[#This Row],[TE_STARTING_KN]]/(PROPERTIES[[#This Row],[WEIGHT]]*9.81),0)</f>
        <v>0.26565709799197651</v>
      </c>
      <c r="V880" s="25">
        <v>0</v>
      </c>
      <c r="W880" s="21">
        <f>ROUND(IF(IFERROR(PROPERTIES[[#This Row],[TE_COEFFICIENT_CALC]],0)=0,PROPERTIES[[#This Row],[TE_COEFFICIENT_MANUAL]],PROPERTIES[[#This Row],[TE_COEFFICIENT_CALC]]),3)</f>
        <v>0.26600000000000001</v>
      </c>
      <c r="X880" s="32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1">
        <v>0</v>
      </c>
      <c r="Z880" s="7">
        <v>0</v>
      </c>
      <c r="AA880" t="s">
        <v>241</v>
      </c>
      <c r="AB880" t="s">
        <v>238</v>
      </c>
      <c r="AC880" t="s">
        <v>238</v>
      </c>
      <c r="AD880" s="2" t="s">
        <v>238</v>
      </c>
      <c r="AE880" s="2" t="s">
        <v>253</v>
      </c>
      <c r="AF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80" s="2" t="str">
        <f>SUBSTITUTE(SUBSTITUTE(PROPERTIES[[#This Row],[PURCHASECOST_VALUE]], "PURCHASECOST_", ""), "_VALUE", "")</f>
        <v>DIESELENGINE</v>
      </c>
      <c r="AI880" s="7" t="str" cm="1">
        <f t="array" ref="AI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80" s="43" t="b">
        <v>0</v>
      </c>
      <c r="AK880" s="8" t="b">
        <v>0</v>
      </c>
      <c r="BA880" s="7"/>
      <c r="BB880" s="8"/>
      <c r="BC880" s="9"/>
      <c r="BD880"/>
    </row>
    <row r="881" spans="1:56">
      <c r="A881" s="2" t="s">
        <v>3419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5" t="str">
        <f>_xlfn.XLOOKUP(PROPERTIES[[#This Row],[VEHIDCODE]],CONTROL[VEHIDCODE],CONTROL[ENGLISH])</f>
        <v>William Fairbairn 2-2-2 'Baroneza'</v>
      </c>
      <c r="F881" t="s">
        <v>597</v>
      </c>
      <c r="G881" s="45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8">
        <v>17</v>
      </c>
      <c r="R881">
        <v>50</v>
      </c>
      <c r="S881">
        <v>35</v>
      </c>
      <c r="T881" s="25">
        <v>0</v>
      </c>
      <c r="U881" s="24">
        <f>IFERROR(PROPERTIES[[#This Row],[TE_STARTING_KN]]/(PROPERTIES[[#This Row],[WEIGHT]]*9.81),0)</f>
        <v>0</v>
      </c>
      <c r="V881" s="24">
        <v>0.09</v>
      </c>
      <c r="W881" s="21">
        <f>ROUND(IF(IFERROR(PROPERTIES[[#This Row],[TE_COEFFICIENT_CALC]],0)=0,PROPERTIES[[#This Row],[TE_COEFFICIENT_MANUAL]],PROPERTIES[[#This Row],[TE_COEFFICIENT_CALC]]),3)</f>
        <v>0.09</v>
      </c>
      <c r="X881" s="9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1">
        <v>0</v>
      </c>
      <c r="Z881" s="7">
        <v>3</v>
      </c>
      <c r="AA881" t="s">
        <v>246</v>
      </c>
      <c r="AB881" t="s">
        <v>238</v>
      </c>
      <c r="AC881" t="s">
        <v>238</v>
      </c>
      <c r="AD881" s="2" t="s">
        <v>238</v>
      </c>
      <c r="AE881" s="2" t="s">
        <v>253</v>
      </c>
      <c r="AF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1" s="2" t="str">
        <f>SUBSTITUTE(SUBSTITUTE(PROPERTIES[[#This Row],[PURCHASECOST_VALUE]], "PURCHASECOST_", ""), "_VALUE", "")</f>
        <v>STEAMENGINE</v>
      </c>
      <c r="AI881" s="7" t="str" cm="1">
        <f t="array" ref="AI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1" s="43" t="b">
        <v>0</v>
      </c>
      <c r="AK881" s="8" t="b">
        <v>0</v>
      </c>
      <c r="BA881" s="7"/>
      <c r="BB881" s="8"/>
      <c r="BC881" s="9"/>
      <c r="BD881"/>
    </row>
    <row r="882" spans="1:56">
      <c r="A882" s="2" t="s">
        <v>3420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5" t="str">
        <f>_xlfn.XLOOKUP(PROPERTIES[[#This Row],[VEHIDCODE]],CONTROL[VEHIDCODE],CONTROL[ENGLISH])</f>
        <v>Hunslet 0-4-0ST 'La Portena'</v>
      </c>
      <c r="F882" t="s">
        <v>577</v>
      </c>
      <c r="G882" s="45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8">
        <v>15.2</v>
      </c>
      <c r="R882">
        <v>100</v>
      </c>
      <c r="S882">
        <v>25</v>
      </c>
      <c r="T882" s="25">
        <v>27.11</v>
      </c>
      <c r="U882" s="24">
        <f>IFERROR(PROPERTIES[[#This Row],[TE_STARTING_KN]]/(PROPERTIES[[#This Row],[WEIGHT]]*9.81),0)</f>
        <v>0.18180964644025968</v>
      </c>
      <c r="V882" s="24">
        <v>0</v>
      </c>
      <c r="W882" s="21">
        <f>ROUND(IF(IFERROR(PROPERTIES[[#This Row],[TE_COEFFICIENT_CALC]],0)=0,PROPERTIES[[#This Row],[TE_COEFFICIENT_MANUAL]],PROPERTIES[[#This Row],[TE_COEFFICIENT_CALC]]),3)</f>
        <v>0.182</v>
      </c>
      <c r="X882" s="9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1">
        <v>0</v>
      </c>
      <c r="Z882" s="7">
        <v>2</v>
      </c>
      <c r="AA882" t="s">
        <v>246</v>
      </c>
      <c r="AB882" t="s">
        <v>238</v>
      </c>
      <c r="AC882" t="s">
        <v>238</v>
      </c>
      <c r="AD882" s="2" t="s">
        <v>238</v>
      </c>
      <c r="AE882" s="2" t="s">
        <v>253</v>
      </c>
      <c r="AF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2" s="2" t="str">
        <f>SUBSTITUTE(SUBSTITUTE(PROPERTIES[[#This Row],[PURCHASECOST_VALUE]], "PURCHASECOST_", ""), "_VALUE", "")</f>
        <v>STEAMENGINE</v>
      </c>
      <c r="AI882" s="7" t="str" cm="1">
        <f t="array" ref="AI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2" s="43" t="b">
        <v>0</v>
      </c>
      <c r="AK882" s="8" t="b">
        <v>0</v>
      </c>
      <c r="BA882" s="7"/>
      <c r="BB882" s="8"/>
      <c r="BC882" s="9"/>
      <c r="BD882"/>
    </row>
    <row r="883" spans="1:56">
      <c r="A883" s="2" t="s">
        <v>3421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5" t="str">
        <f>_xlfn.XLOOKUP(PROPERTIES[[#This Row],[VEHIDCODE]],CONTROL[VEHIDCODE],CONTROL[ENGLISH])</f>
        <v>Burnham 2-10-0 'Dom Pedro Segundo 119'</v>
      </c>
      <c r="F883" t="s">
        <v>597</v>
      </c>
      <c r="G883" s="45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8">
        <v>102</v>
      </c>
      <c r="R883">
        <v>626</v>
      </c>
      <c r="S883">
        <v>50</v>
      </c>
      <c r="T883" s="25">
        <v>148</v>
      </c>
      <c r="U883" s="24">
        <f>IFERROR(PROPERTIES[[#This Row],[TE_STARTING_KN]]/(PROPERTIES[[#This Row],[WEIGHT]]*9.81),0)</f>
        <v>0.14790829685594931</v>
      </c>
      <c r="V883" s="24">
        <v>0</v>
      </c>
      <c r="W883" s="21">
        <f>ROUND(IF(IFERROR(PROPERTIES[[#This Row],[TE_COEFFICIENT_CALC]],0)=0,PROPERTIES[[#This Row],[TE_COEFFICIENT_MANUAL]],PROPERTIES[[#This Row],[TE_COEFFICIENT_CALC]]),3)</f>
        <v>0.14799999999999999</v>
      </c>
      <c r="X883" s="9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1">
        <v>0</v>
      </c>
      <c r="Z883" s="7">
        <v>3</v>
      </c>
      <c r="AA883" t="s">
        <v>246</v>
      </c>
      <c r="AB883" t="s">
        <v>238</v>
      </c>
      <c r="AC883" t="s">
        <v>238</v>
      </c>
      <c r="AD883" s="2" t="s">
        <v>238</v>
      </c>
      <c r="AE883" s="2" t="s">
        <v>253</v>
      </c>
      <c r="AF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3" s="2" t="str">
        <f>SUBSTITUTE(SUBSTITUTE(PROPERTIES[[#This Row],[PURCHASECOST_VALUE]], "PURCHASECOST_", ""), "_VALUE", "")</f>
        <v>STEAMENGINE</v>
      </c>
      <c r="AI883" s="7" t="str" cm="1">
        <f t="array" ref="AI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3" s="43" t="b">
        <v>0</v>
      </c>
      <c r="AK883" s="8" t="b">
        <v>0</v>
      </c>
      <c r="BA883" s="7"/>
      <c r="BB883" s="8"/>
      <c r="BC883" s="9"/>
      <c r="BD883"/>
    </row>
    <row r="884" spans="1:56">
      <c r="A884" s="2" t="s">
        <v>3422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5" t="str">
        <f>_xlfn.XLOOKUP(PROPERTIES[[#This Row],[VEHIDCODE]],CONTROL[VEHIDCODE],CONTROL[ENGLISH])</f>
        <v>Baldwin 0-22C No8 'Monsefu'</v>
      </c>
      <c r="F884" t="s">
        <v>739</v>
      </c>
      <c r="G884" s="45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8">
        <v>44</v>
      </c>
      <c r="R884">
        <v>438</v>
      </c>
      <c r="S884">
        <v>80</v>
      </c>
      <c r="T884" s="25">
        <v>44</v>
      </c>
      <c r="U884" s="24">
        <f>IFERROR(PROPERTIES[[#This Row],[TE_STARTING_KN]]/(PROPERTIES[[#This Row],[WEIGHT]]*9.81),0)</f>
        <v>0.1019367991845056</v>
      </c>
      <c r="V884" s="24">
        <v>0</v>
      </c>
      <c r="W884" s="21">
        <f>ROUND(IF(IFERROR(PROPERTIES[[#This Row],[TE_COEFFICIENT_CALC]],0)=0,PROPERTIES[[#This Row],[TE_COEFFICIENT_MANUAL]],PROPERTIES[[#This Row],[TE_COEFFICIENT_CALC]]),3)</f>
        <v>0.10199999999999999</v>
      </c>
      <c r="X884" s="9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1">
        <v>0</v>
      </c>
      <c r="Z884" s="7">
        <v>4</v>
      </c>
      <c r="AA884" t="s">
        <v>246</v>
      </c>
      <c r="AB884" t="s">
        <v>238</v>
      </c>
      <c r="AC884" t="s">
        <v>238</v>
      </c>
      <c r="AD884" s="2" t="s">
        <v>238</v>
      </c>
      <c r="AE884" s="2" t="s">
        <v>253</v>
      </c>
      <c r="AF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4" s="2" t="str">
        <f>SUBSTITUTE(SUBSTITUTE(PROPERTIES[[#This Row],[PURCHASECOST_VALUE]], "PURCHASECOST_", ""), "_VALUE", "")</f>
        <v>STEAMENGINE</v>
      </c>
      <c r="AI884" s="7" t="str" cm="1">
        <f t="array" ref="AI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4" s="43" t="b">
        <v>0</v>
      </c>
      <c r="AK884" s="8" t="b">
        <v>0</v>
      </c>
      <c r="BA884" s="7"/>
      <c r="BB884" s="8"/>
      <c r="BC884" s="9"/>
      <c r="BD884"/>
    </row>
    <row r="885" spans="1:56">
      <c r="A885" s="2" t="s">
        <v>3423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5" t="str">
        <f>_xlfn.XLOOKUP(PROPERTIES[[#This Row],[VEHIDCODE]],CONTROL[VEHIDCODE],CONTROL[ENGLISH])</f>
        <v>North British 2-6-0 Q Class</v>
      </c>
      <c r="F885" t="s">
        <v>751</v>
      </c>
      <c r="G885" s="45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8">
        <v>97.3</v>
      </c>
      <c r="R885">
        <v>650</v>
      </c>
      <c r="S885">
        <v>75</v>
      </c>
      <c r="T885" s="25">
        <v>96.26</v>
      </c>
      <c r="U885" s="24">
        <f>IFERROR(PROPERTIES[[#This Row],[TE_STARTING_KN]]/(PROPERTIES[[#This Row],[WEIGHT]]*9.81),0)</f>
        <v>0.10084723832991274</v>
      </c>
      <c r="V885" s="24">
        <v>0</v>
      </c>
      <c r="W885" s="21">
        <f>ROUND(IF(IFERROR(PROPERTIES[[#This Row],[TE_COEFFICIENT_CALC]],0)=0,PROPERTIES[[#This Row],[TE_COEFFICIENT_MANUAL]],PROPERTIES[[#This Row],[TE_COEFFICIENT_CALC]]),3)</f>
        <v>0.10100000000000001</v>
      </c>
      <c r="X885" s="9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1">
        <v>0</v>
      </c>
      <c r="Z885" s="7">
        <v>3</v>
      </c>
      <c r="AA885" t="s">
        <v>246</v>
      </c>
      <c r="AB885" t="s">
        <v>238</v>
      </c>
      <c r="AC885" t="s">
        <v>238</v>
      </c>
      <c r="AD885" s="2" t="s">
        <v>238</v>
      </c>
      <c r="AE885" s="2" t="s">
        <v>253</v>
      </c>
      <c r="AF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5" s="2" t="str">
        <f>SUBSTITUTE(SUBSTITUTE(PROPERTIES[[#This Row],[PURCHASECOST_VALUE]], "PURCHASECOST_", ""), "_VALUE", "")</f>
        <v>STEAMENGINE</v>
      </c>
      <c r="AI885" s="7" t="str" cm="1">
        <f t="array" ref="AI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5" s="43" t="b">
        <v>0</v>
      </c>
      <c r="AK885" s="8" t="b">
        <v>0</v>
      </c>
      <c r="BA885" s="7"/>
      <c r="BB885" s="8"/>
      <c r="BC885" s="9"/>
      <c r="BD885"/>
    </row>
    <row r="886" spans="1:56">
      <c r="A886" s="2" t="s">
        <v>3424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5" t="str">
        <f>_xlfn.XLOOKUP(PROPERTIES[[#This Row],[VEHIDCODE]],CONTROL[VEHIDCODE],CONTROL[ENGLISH])</f>
        <v>NBLC 4-6-2 PS10 Class</v>
      </c>
      <c r="F886" t="s">
        <v>577</v>
      </c>
      <c r="G886" s="45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8">
        <v>150</v>
      </c>
      <c r="R886">
        <v>900</v>
      </c>
      <c r="S886">
        <v>140</v>
      </c>
      <c r="T886" s="25">
        <v>97</v>
      </c>
      <c r="U886" s="24">
        <f>IFERROR(PROPERTIES[[#This Row],[TE_STARTING_KN]]/(PROPERTIES[[#This Row],[WEIGHT]]*9.81),0)</f>
        <v>6.5919130139313623E-2</v>
      </c>
      <c r="V886" s="24">
        <v>0</v>
      </c>
      <c r="W886" s="21">
        <f>ROUND(IF(IFERROR(PROPERTIES[[#This Row],[TE_COEFFICIENT_CALC]],0)=0,PROPERTIES[[#This Row],[TE_COEFFICIENT_MANUAL]],PROPERTIES[[#This Row],[TE_COEFFICIENT_CALC]]),3)</f>
        <v>6.6000000000000003E-2</v>
      </c>
      <c r="X886" s="9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1">
        <v>0</v>
      </c>
      <c r="Z886" s="7">
        <v>4</v>
      </c>
      <c r="AA886" t="s">
        <v>246</v>
      </c>
      <c r="AB886" t="s">
        <v>238</v>
      </c>
      <c r="AC886" t="s">
        <v>238</v>
      </c>
      <c r="AD886" s="2" t="s">
        <v>238</v>
      </c>
      <c r="AE886" s="2" t="s">
        <v>253</v>
      </c>
      <c r="AF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6" s="2" t="str">
        <f>SUBSTITUTE(SUBSTITUTE(PROPERTIES[[#This Row],[PURCHASECOST_VALUE]], "PURCHASECOST_", ""), "_VALUE", "")</f>
        <v>STEAMENGINE</v>
      </c>
      <c r="AI886" s="7" t="str" cm="1">
        <f t="array" ref="AI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6" s="43" t="b">
        <v>0</v>
      </c>
      <c r="AK886" s="8" t="b">
        <v>0</v>
      </c>
      <c r="BA886" s="7"/>
      <c r="BB886" s="8"/>
      <c r="BC886" s="9"/>
      <c r="BD886"/>
    </row>
    <row r="887" spans="1:56">
      <c r="A887" s="2" t="s">
        <v>3425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5" t="str">
        <f>_xlfn.XLOOKUP(PROPERTIES[[#This Row],[VEHIDCODE]],CONTROL[VEHIDCODE],CONTROL[ENGLISH])</f>
        <v>Yorkshire Engine Co. 4-8-4T 'Nitrate 101'</v>
      </c>
      <c r="F887" t="s">
        <v>612</v>
      </c>
      <c r="G887" s="45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8">
        <v>112</v>
      </c>
      <c r="R887">
        <v>1300</v>
      </c>
      <c r="S887">
        <v>61</v>
      </c>
      <c r="T887" s="25">
        <v>156.85763828079999</v>
      </c>
      <c r="U887" s="25">
        <f>IFERROR(PROPERTIES[[#This Row],[TE_STARTING_KN]]/(PROPERTIES[[#This Row],[WEIGHT]]*9.81),0)</f>
        <v>0.14276397833915827</v>
      </c>
      <c r="V887" s="25">
        <v>0</v>
      </c>
      <c r="W887" s="21">
        <f>ROUND(IF(IFERROR(PROPERTIES[[#This Row],[TE_COEFFICIENT_CALC]],0)=0,PROPERTIES[[#This Row],[TE_COEFFICIENT_MANUAL]],PROPERTIES[[#This Row],[TE_COEFFICIENT_CALC]]),3)</f>
        <v>0.14299999999999999</v>
      </c>
      <c r="X887" s="32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1">
        <v>0</v>
      </c>
      <c r="Z887" s="7">
        <v>0</v>
      </c>
      <c r="AA887" t="s">
        <v>246</v>
      </c>
      <c r="AB887" t="s">
        <v>238</v>
      </c>
      <c r="AC887" t="s">
        <v>238</v>
      </c>
      <c r="AD887" s="2" t="s">
        <v>238</v>
      </c>
      <c r="AE887" s="2" t="s">
        <v>253</v>
      </c>
      <c r="AF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7" s="2" t="str">
        <f>SUBSTITUTE(SUBSTITUTE(PROPERTIES[[#This Row],[PURCHASECOST_VALUE]], "PURCHASECOST_", ""), "_VALUE", "")</f>
        <v>STEAMENGINE</v>
      </c>
      <c r="AI887" s="7" t="str" cm="1">
        <f t="array" ref="AI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7" s="43" t="b">
        <v>0</v>
      </c>
      <c r="AK887" s="8" t="b">
        <v>0</v>
      </c>
      <c r="BA887" s="7"/>
      <c r="BB887" s="8"/>
      <c r="BC887" s="9"/>
      <c r="BD887"/>
    </row>
    <row r="888" spans="1:56">
      <c r="A888" t="s">
        <v>3426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5" t="str">
        <f>_xlfn.XLOOKUP(PROPERTIES[[#This Row],[VEHIDCODE]],CONTROL[VEHIDCODE],CONTROL[ENGLISH])</f>
        <v>SLM-BBC 1-D-1</v>
      </c>
      <c r="F888" t="s">
        <v>597</v>
      </c>
      <c r="G888" s="45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8">
        <v>123.4</v>
      </c>
      <c r="R888">
        <v>2520</v>
      </c>
      <c r="S888">
        <v>105</v>
      </c>
      <c r="T888" s="25">
        <v>127</v>
      </c>
      <c r="U888" s="25">
        <f>IFERROR(PROPERTIES[[#This Row],[TE_STARTING_KN]]/(PROPERTIES[[#This Row],[WEIGHT]]*9.81),0)</f>
        <v>0.10491064421744094</v>
      </c>
      <c r="V888" s="25">
        <v>0</v>
      </c>
      <c r="W888" s="21">
        <f>ROUND(IF(IFERROR(PROPERTIES[[#This Row],[TE_COEFFICIENT_CALC]],0)=0,PROPERTIES[[#This Row],[TE_COEFFICIENT_MANUAL]],PROPERTIES[[#This Row],[TE_COEFFICIENT_CALC]]),3)</f>
        <v>0.105</v>
      </c>
      <c r="X888" s="32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1">
        <v>0</v>
      </c>
      <c r="Z888" s="7">
        <v>0</v>
      </c>
      <c r="AA888" t="s">
        <v>246</v>
      </c>
      <c r="AB888" t="s">
        <v>238</v>
      </c>
      <c r="AC888" t="s">
        <v>238</v>
      </c>
      <c r="AD888" s="2" t="s">
        <v>238</v>
      </c>
      <c r="AE888" s="2" t="s">
        <v>253</v>
      </c>
      <c r="AF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8" s="2" t="str">
        <f>SUBSTITUTE(SUBSTITUTE(PROPERTIES[[#This Row],[PURCHASECOST_VALUE]], "PURCHASECOST_", ""), "_VALUE", "")</f>
        <v>ELECTRICENGINE</v>
      </c>
      <c r="AI888" s="7" t="str" cm="1">
        <f t="array" ref="AI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8" s="43" t="b">
        <v>0</v>
      </c>
      <c r="AK888" s="8" t="b">
        <v>0</v>
      </c>
      <c r="BA888" s="7"/>
      <c r="BB888" s="8"/>
      <c r="BC888" s="9"/>
      <c r="BD888"/>
    </row>
    <row r="889" spans="1:56">
      <c r="A889" t="s">
        <v>3427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5" t="str">
        <f>_xlfn.XLOOKUP(PROPERTIES[[#This Row],[VEHIDCODE]],CONTROL[VEHIDCODE],CONTROL[ENGLISH])</f>
        <v>GE 2-C+C-2</v>
      </c>
      <c r="F889" t="s">
        <v>597</v>
      </c>
      <c r="G889" s="45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8">
        <v>165.1</v>
      </c>
      <c r="R889">
        <v>3870</v>
      </c>
      <c r="S889">
        <v>145</v>
      </c>
      <c r="T889" s="25">
        <v>337</v>
      </c>
      <c r="U889" s="25">
        <f>IFERROR(PROPERTIES[[#This Row],[TE_STARTING_KN]]/(PROPERTIES[[#This Row],[WEIGHT]]*9.81),0)</f>
        <v>0.20807208555529005</v>
      </c>
      <c r="V889" s="25">
        <v>0</v>
      </c>
      <c r="W889" s="21">
        <f>ROUND(IF(IFERROR(PROPERTIES[[#This Row],[TE_COEFFICIENT_CALC]],0)=0,PROPERTIES[[#This Row],[TE_COEFFICIENT_MANUAL]],PROPERTIES[[#This Row],[TE_COEFFICIENT_CALC]]),3)</f>
        <v>0.20799999999999999</v>
      </c>
      <c r="X889" s="32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1">
        <v>0</v>
      </c>
      <c r="Z889" s="7">
        <v>0</v>
      </c>
      <c r="AA889" t="s">
        <v>246</v>
      </c>
      <c r="AB889" t="s">
        <v>238</v>
      </c>
      <c r="AC889" t="s">
        <v>238</v>
      </c>
      <c r="AD889" s="2" t="s">
        <v>238</v>
      </c>
      <c r="AE889" s="2" t="s">
        <v>253</v>
      </c>
      <c r="AF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9" s="2" t="str">
        <f>SUBSTITUTE(SUBSTITUTE(PROPERTIES[[#This Row],[PURCHASECOST_VALUE]], "PURCHASECOST_", ""), "_VALUE", "")</f>
        <v>ELECTRICENGINE</v>
      </c>
      <c r="AI889" s="7" t="str" cm="1">
        <f t="array" ref="AI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9" s="43" t="b">
        <v>0</v>
      </c>
      <c r="AK889" s="8" t="b">
        <v>0</v>
      </c>
      <c r="BA889" s="7"/>
      <c r="BB889" s="8"/>
      <c r="BC889" s="9"/>
      <c r="BD889"/>
    </row>
    <row r="890" spans="1:56">
      <c r="A890" s="2" t="s">
        <v>3428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5" t="str">
        <f>_xlfn.XLOOKUP(PROPERTIES[[#This Row],[VEHIDCODE]],CONTROL[VEHIDCODE],CONTROL[ENGLISH])</f>
        <v>Norris &amp; Brothers 4-4-0 'La Copiapo'</v>
      </c>
      <c r="F890" t="s">
        <v>612</v>
      </c>
      <c r="G890" s="45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8">
        <v>40</v>
      </c>
      <c r="R890">
        <v>400</v>
      </c>
      <c r="S890">
        <v>30</v>
      </c>
      <c r="T890" s="25">
        <v>62.4</v>
      </c>
      <c r="U890" s="25">
        <f>IFERROR(PROPERTIES[[#This Row],[TE_STARTING_KN]]/(PROPERTIES[[#This Row],[WEIGHT]]*9.81),0)</f>
        <v>0.15902140672782872</v>
      </c>
      <c r="V890" s="25">
        <v>0</v>
      </c>
      <c r="W890" s="21">
        <f>ROUND(IF(IFERROR(PROPERTIES[[#This Row],[TE_COEFFICIENT_CALC]],0)=0,PROPERTIES[[#This Row],[TE_COEFFICIENT_MANUAL]],PROPERTIES[[#This Row],[TE_COEFFICIENT_CALC]]),3)</f>
        <v>0.159</v>
      </c>
      <c r="X890" s="32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1">
        <v>0</v>
      </c>
      <c r="Z890" s="7">
        <v>3</v>
      </c>
      <c r="AA890" t="s">
        <v>246</v>
      </c>
      <c r="AB890" t="s">
        <v>238</v>
      </c>
      <c r="AC890" t="s">
        <v>238</v>
      </c>
      <c r="AD890" s="2" t="s">
        <v>238</v>
      </c>
      <c r="AE890" s="2" t="s">
        <v>253</v>
      </c>
      <c r="AF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0" s="2" t="str">
        <f>SUBSTITUTE(SUBSTITUTE(PROPERTIES[[#This Row],[PURCHASECOST_VALUE]], "PURCHASECOST_", ""), "_VALUE", "")</f>
        <v>STEAMENGINE</v>
      </c>
      <c r="AI890" s="7" t="str" cm="1">
        <f t="array" ref="AI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0" s="43" t="b">
        <v>0</v>
      </c>
      <c r="AK890" s="8" t="b">
        <v>0</v>
      </c>
      <c r="BA890" s="7"/>
      <c r="BB890" s="8"/>
      <c r="BC890" s="9"/>
      <c r="BD890"/>
    </row>
    <row r="891" spans="1:56">
      <c r="A891" s="2" t="s">
        <v>3429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5" t="str">
        <f>_xlfn.XLOOKUP(PROPERTIES[[#This Row],[VEHIDCODE]],CONTROL[VEHIDCODE],CONTROL[ENGLISH])</f>
        <v>AEG A1A+A1A</v>
      </c>
      <c r="F891" t="s">
        <v>616</v>
      </c>
      <c r="G891" s="45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8">
        <v>56.8</v>
      </c>
      <c r="R891">
        <v>650</v>
      </c>
      <c r="S891">
        <v>50</v>
      </c>
      <c r="T891" s="25">
        <v>0</v>
      </c>
      <c r="U891" s="24">
        <f>IFERROR(PROPERTIES[[#This Row],[TE_STARTING_KN]]/(PROPERTIES[[#This Row],[WEIGHT]]*9.81),0)</f>
        <v>0</v>
      </c>
      <c r="V891" s="24">
        <v>0.15</v>
      </c>
      <c r="W891" s="21">
        <f>ROUND(IF(IFERROR(PROPERTIES[[#This Row],[TE_COEFFICIENT_CALC]],0)=0,PROPERTIES[[#This Row],[TE_COEFFICIENT_MANUAL]],PROPERTIES[[#This Row],[TE_COEFFICIENT_CALC]]),3)</f>
        <v>0.15</v>
      </c>
      <c r="X891" s="9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1">
        <v>0</v>
      </c>
      <c r="Z891" s="7">
        <v>0</v>
      </c>
      <c r="AA891" t="s">
        <v>244</v>
      </c>
      <c r="AB891" t="s">
        <v>238</v>
      </c>
      <c r="AC891" t="s">
        <v>238</v>
      </c>
      <c r="AD891" s="2" t="s">
        <v>238</v>
      </c>
      <c r="AE891" s="2" t="s">
        <v>253</v>
      </c>
      <c r="AF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91" s="2" t="str">
        <f>SUBSTITUTE(SUBSTITUTE(PROPERTIES[[#This Row],[PURCHASECOST_VALUE]], "PURCHASECOST_", ""), "_VALUE", "")</f>
        <v>ELECTRICENGINE</v>
      </c>
      <c r="AI891" s="7" t="str" cm="1">
        <f t="array" ref="AI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1" s="43" t="b">
        <v>0</v>
      </c>
      <c r="AK891" s="8" t="b">
        <v>0</v>
      </c>
      <c r="BA891" s="7"/>
      <c r="BB891" s="8"/>
      <c r="BC891" s="9"/>
      <c r="BD891"/>
    </row>
    <row r="892" spans="1:56">
      <c r="A892" s="2" t="s">
        <v>3430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5" t="str">
        <f>_xlfn.XLOOKUP(PROPERTIES[[#This Row],[VEHIDCODE]],CONTROL[VEHIDCODE],CONTROL[ENGLISH])</f>
        <v>Ganz 'Arpad' Bariloche DMU</v>
      </c>
      <c r="F892" t="s">
        <v>577</v>
      </c>
      <c r="G892" s="45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8">
        <f>138/3</f>
        <v>46</v>
      </c>
      <c r="R892">
        <v>640</v>
      </c>
      <c r="S892">
        <v>110</v>
      </c>
      <c r="T892" s="25">
        <v>38</v>
      </c>
      <c r="U892" s="24">
        <f>IFERROR(PROPERTIES[[#This Row],[TE_STARTING_KN]]/(PROPERTIES[[#This Row],[WEIGHT]]*9.81),0)</f>
        <v>8.4208660195895929E-2</v>
      </c>
      <c r="V892" s="24">
        <v>0</v>
      </c>
      <c r="W892" s="21">
        <f>ROUND(IF(IFERROR(PROPERTIES[[#This Row],[TE_COEFFICIENT_CALC]],0)=0,PROPERTIES[[#This Row],[TE_COEFFICIENT_MANUAL]],PROPERTIES[[#This Row],[TE_COEFFICIENT_CALC]]),3)</f>
        <v>8.4000000000000005E-2</v>
      </c>
      <c r="X892" s="9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1">
        <v>55</v>
      </c>
      <c r="Z892" s="7">
        <v>8</v>
      </c>
      <c r="AA892" t="s">
        <v>246</v>
      </c>
      <c r="AB892" t="s">
        <v>238</v>
      </c>
      <c r="AC892" t="s">
        <v>238</v>
      </c>
      <c r="AD892" s="2" t="s">
        <v>238</v>
      </c>
      <c r="AE892" s="2" t="s">
        <v>253</v>
      </c>
      <c r="AF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2" s="2" t="str">
        <f>SUBSTITUTE(SUBSTITUTE(PROPERTIES[[#This Row],[PURCHASECOST_VALUE]], "PURCHASECOST_", ""), "_VALUE", "")</f>
        <v>DMU</v>
      </c>
      <c r="AI892" s="7" t="str" cm="1">
        <f t="array" ref="AI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2" s="43" t="b">
        <v>0</v>
      </c>
      <c r="AK892" s="8" t="b">
        <v>0</v>
      </c>
      <c r="BA892" s="7"/>
      <c r="BB892" s="8"/>
      <c r="BC892" s="9"/>
      <c r="BD892"/>
    </row>
    <row r="893" spans="1:56">
      <c r="A893" s="2" t="s">
        <v>3431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5" t="str">
        <f>_xlfn.XLOOKUP(PROPERTIES[[#This Row],[VEHIDCODE]],CONTROL[VEHIDCODE],CONTROL[ENGLISH])</f>
        <v>Avonside 0-6-0ST Sao Paulo No. 13 - 14</v>
      </c>
      <c r="F893" t="s">
        <v>597</v>
      </c>
      <c r="G893" s="45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8">
        <v>30</v>
      </c>
      <c r="R893">
        <v>275</v>
      </c>
      <c r="S893">
        <v>25</v>
      </c>
      <c r="T893" s="25">
        <v>58.07</v>
      </c>
      <c r="U893" s="24">
        <f>IFERROR(PROPERTIES[[#This Row],[TE_STARTING_KN]]/(PROPERTIES[[#This Row],[WEIGHT]]*9.81),0)</f>
        <v>0.19731566428814135</v>
      </c>
      <c r="V893" s="24">
        <v>0</v>
      </c>
      <c r="W893" s="21">
        <f>ROUND(IF(IFERROR(PROPERTIES[[#This Row],[TE_COEFFICIENT_CALC]],0)=0,PROPERTIES[[#This Row],[TE_COEFFICIENT_MANUAL]],PROPERTIES[[#This Row],[TE_COEFFICIENT_CALC]]),3)</f>
        <v>0.19700000000000001</v>
      </c>
      <c r="X893" s="9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1">
        <v>0</v>
      </c>
      <c r="Z893" s="7">
        <v>2</v>
      </c>
      <c r="AA893" t="s">
        <v>246</v>
      </c>
      <c r="AB893" t="s">
        <v>238</v>
      </c>
      <c r="AC893" t="s">
        <v>238</v>
      </c>
      <c r="AD893" s="2" t="s">
        <v>238</v>
      </c>
      <c r="AE893" s="2" t="s">
        <v>253</v>
      </c>
      <c r="AF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3" s="2" t="str">
        <f>SUBSTITUTE(SUBSTITUTE(PROPERTIES[[#This Row],[PURCHASECOST_VALUE]], "PURCHASECOST_", ""), "_VALUE", "")</f>
        <v>STEAMENGINE</v>
      </c>
      <c r="AI893" s="7" t="str" cm="1">
        <f t="array" ref="AI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3" s="43" t="b">
        <v>0</v>
      </c>
      <c r="AK893" s="8" t="b">
        <v>0</v>
      </c>
      <c r="BA893" s="7"/>
      <c r="BB893" s="8"/>
      <c r="BC893" s="9"/>
      <c r="BD893"/>
    </row>
    <row r="894" spans="1:56">
      <c r="A894" s="2" t="s">
        <v>3432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5" t="str">
        <f>_xlfn.XLOOKUP(PROPERTIES[[#This Row],[VEHIDCODE]],CONTROL[VEHIDCODE],CONTROL[ENGLISH])</f>
        <v>Ganz 'Arpad' CMU 4701 Transandino</v>
      </c>
      <c r="F894" t="s">
        <v>577</v>
      </c>
      <c r="G894" s="45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8">
        <f>138/3</f>
        <v>46</v>
      </c>
      <c r="R894">
        <v>1100</v>
      </c>
      <c r="S894">
        <v>80</v>
      </c>
      <c r="T894" s="25">
        <v>38</v>
      </c>
      <c r="U894" s="24">
        <f>IFERROR(PROPERTIES[[#This Row],[TE_STARTING_KN]]/(PROPERTIES[[#This Row],[WEIGHT]]*9.81),0)</f>
        <v>8.4208660195895929E-2</v>
      </c>
      <c r="V894" s="24">
        <v>0</v>
      </c>
      <c r="W894" s="21">
        <f>ROUND(IF(IFERROR(PROPERTIES[[#This Row],[TE_COEFFICIENT_CALC]],0)=0,PROPERTIES[[#This Row],[TE_COEFFICIENT_MANUAL]],PROPERTIES[[#This Row],[TE_COEFFICIENT_CALC]]),3)</f>
        <v>8.4000000000000005E-2</v>
      </c>
      <c r="X894" s="9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1">
        <v>55</v>
      </c>
      <c r="Z894" s="7">
        <v>8</v>
      </c>
      <c r="AA894" t="s">
        <v>246</v>
      </c>
      <c r="AB894" t="s">
        <v>238</v>
      </c>
      <c r="AC894" t="s">
        <v>238</v>
      </c>
      <c r="AD894" s="2" t="s">
        <v>238</v>
      </c>
      <c r="AE894" s="2" t="s">
        <v>253</v>
      </c>
      <c r="AF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4" s="2" t="str">
        <f>SUBSTITUTE(SUBSTITUTE(PROPERTIES[[#This Row],[PURCHASECOST_VALUE]], "PURCHASECOST_", ""), "_VALUE", "")</f>
        <v>DMU</v>
      </c>
      <c r="AI894" s="7" t="str" cm="1">
        <f t="array" ref="AI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4" s="43" t="b">
        <v>0</v>
      </c>
      <c r="AK894" s="8" t="b">
        <v>0</v>
      </c>
      <c r="BA894" s="7"/>
      <c r="BB894" s="8"/>
      <c r="BC894" s="9"/>
      <c r="BD894"/>
    </row>
    <row r="895" spans="1:56">
      <c r="A895" s="2" t="s">
        <v>3433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5" t="str">
        <f>_xlfn.XLOOKUP(PROPERTIES[[#This Row],[VEHIDCODE]],CONTROL[VEHIDCODE],CONTROL[ENGLISH])</f>
        <v>Kawasaki/Hitachi AEZ Railcar</v>
      </c>
      <c r="F895" t="s">
        <v>612</v>
      </c>
      <c r="G895" s="45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8">
        <v>52</v>
      </c>
      <c r="R895">
        <f>805*2</f>
        <v>1610</v>
      </c>
      <c r="S895">
        <v>160</v>
      </c>
      <c r="T895" s="25">
        <v>85</v>
      </c>
      <c r="U895" s="24">
        <f>IFERROR(PROPERTIES[[#This Row],[TE_STARTING_KN]]/(PROPERTIES[[#This Row],[WEIGHT]]*9.81),0)</f>
        <v>0.16662746020544186</v>
      </c>
      <c r="V895" s="24">
        <v>0</v>
      </c>
      <c r="W895" s="21">
        <f>ROUND(IF(IFERROR(PROPERTIES[[#This Row],[TE_COEFFICIENT_CALC]],0)=0,PROPERTIES[[#This Row],[TE_COEFFICIENT_MANUAL]],PROPERTIES[[#This Row],[TE_COEFFICIENT_CALC]]),3)</f>
        <v>0.16700000000000001</v>
      </c>
      <c r="X895" s="9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1">
        <v>92</v>
      </c>
      <c r="Z895" s="7">
        <v>7</v>
      </c>
      <c r="AA895" t="s">
        <v>246</v>
      </c>
      <c r="AB895" t="s">
        <v>238</v>
      </c>
      <c r="AC895" t="s">
        <v>238</v>
      </c>
      <c r="AD895" s="2" t="s">
        <v>238</v>
      </c>
      <c r="AE895" s="2" t="s">
        <v>253</v>
      </c>
      <c r="AF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5" s="2" t="str">
        <f>SUBSTITUTE(SUBSTITUTE(PROPERTIES[[#This Row],[PURCHASECOST_VALUE]], "PURCHASECOST_", ""), "_VALUE", "")</f>
        <v>EMU</v>
      </c>
      <c r="AI895" s="7" t="str" cm="1">
        <f t="array" ref="AI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5" s="43" t="b">
        <v>0</v>
      </c>
      <c r="AK895" s="8" t="b">
        <v>0</v>
      </c>
      <c r="BA895" s="7"/>
      <c r="BB895" s="8"/>
      <c r="BC895" s="9"/>
      <c r="BD895"/>
    </row>
    <row r="896" spans="1:56">
      <c r="A896" t="s">
        <v>3434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5" t="str">
        <f>_xlfn.XLOOKUP(PROPERTIES[[#This Row],[VEHIDCODE]],CONTROL[VEHIDCODE],CONTROL[ENGLISH])</f>
        <v>BREL GEC Auckland ART Concept</v>
      </c>
      <c r="F896" t="s">
        <v>736</v>
      </c>
      <c r="G896" s="45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8">
        <v>38</v>
      </c>
      <c r="R896">
        <v>1500</v>
      </c>
      <c r="S896">
        <v>120</v>
      </c>
      <c r="T896" s="25">
        <v>0</v>
      </c>
      <c r="U896" s="25">
        <f>IFERROR(PROPERTIES[[#This Row],[TE_STARTING_KN]]/(PROPERTIES[[#This Row],[WEIGHT]]*9.81),0)</f>
        <v>0</v>
      </c>
      <c r="V896" s="25">
        <v>0.3</v>
      </c>
      <c r="W896" s="21">
        <f>ROUND(IF(IFERROR(PROPERTIES[[#This Row],[TE_COEFFICIENT_CALC]],0)=0,PROPERTIES[[#This Row],[TE_COEFFICIENT_MANUAL]],PROPERTIES[[#This Row],[TE_COEFFICIENT_CALC]]),3)</f>
        <v>0.3</v>
      </c>
      <c r="X896" s="32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1">
        <v>80</v>
      </c>
      <c r="Z896" s="7">
        <v>8</v>
      </c>
      <c r="AA896" t="s">
        <v>241</v>
      </c>
      <c r="AB896" t="s">
        <v>238</v>
      </c>
      <c r="AC896" t="s">
        <v>238</v>
      </c>
      <c r="AD896" s="2" t="s">
        <v>238</v>
      </c>
      <c r="AE896" s="2" t="s">
        <v>254</v>
      </c>
      <c r="AF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6" s="2" t="str">
        <f>SUBSTITUTE(SUBSTITUTE(PROPERTIES[[#This Row],[PURCHASECOST_VALUE]], "PURCHASECOST_", ""), "_VALUE", "")</f>
        <v>EMU</v>
      </c>
      <c r="AI896" s="7" t="str" cm="1">
        <f t="array" ref="AI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6" s="43" t="b">
        <v>0</v>
      </c>
      <c r="AK896" s="8" t="b">
        <v>0</v>
      </c>
      <c r="BA896" s="7"/>
      <c r="BB896" s="8"/>
      <c r="BC896" s="9"/>
      <c r="BD896"/>
    </row>
    <row r="897" spans="1:56">
      <c r="A897" s="2" t="s">
        <v>3435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5" t="str">
        <f>_xlfn.XLOOKUP(PROPERTIES[[#This Row],[VEHIDCODE]],CONTROL[VEHIDCODE],CONTROL[ENGLISH])</f>
        <v>Comeng 1100 Railcar</v>
      </c>
      <c r="F897" t="s">
        <v>580</v>
      </c>
      <c r="G897" s="45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8">
        <v>51</v>
      </c>
      <c r="R897">
        <v>600</v>
      </c>
      <c r="S897">
        <v>115</v>
      </c>
      <c r="T897" s="25">
        <v>0</v>
      </c>
      <c r="U897" s="25">
        <f>IFERROR(PROPERTIES[[#This Row],[TE_STARTING_KN]]/(PROPERTIES[[#This Row],[WEIGHT]]*9.81),0)</f>
        <v>0</v>
      </c>
      <c r="V897" s="25">
        <v>0.25</v>
      </c>
      <c r="W897" s="21">
        <f>ROUND(IF(IFERROR(PROPERTIES[[#This Row],[TE_COEFFICIENT_CALC]],0)=0,PROPERTIES[[#This Row],[TE_COEFFICIENT_MANUAL]],PROPERTIES[[#This Row],[TE_COEFFICIENT_CALC]]),3)</f>
        <v>0.25</v>
      </c>
      <c r="X897" s="32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1">
        <v>72</v>
      </c>
      <c r="Z897" s="7">
        <v>8</v>
      </c>
      <c r="AA897" t="s">
        <v>241</v>
      </c>
      <c r="AB897" t="s">
        <v>238</v>
      </c>
      <c r="AC897" t="s">
        <v>238</v>
      </c>
      <c r="AD897" s="2" t="s">
        <v>238</v>
      </c>
      <c r="AE897" s="2" t="s">
        <v>253</v>
      </c>
      <c r="AF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7" s="2" t="str">
        <f>SUBSTITUTE(SUBSTITUTE(PROPERTIES[[#This Row],[PURCHASECOST_VALUE]], "PURCHASECOST_", ""), "_VALUE", "")</f>
        <v>DMU</v>
      </c>
      <c r="AI897" s="7" t="str" cm="1">
        <f t="array" ref="AI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7" s="43" t="b">
        <v>0</v>
      </c>
      <c r="AK897" s="8" t="b">
        <v>0</v>
      </c>
      <c r="BA897" s="7"/>
      <c r="BB897" s="8"/>
      <c r="BC897" s="9"/>
      <c r="BD897"/>
    </row>
    <row r="898" spans="1:56">
      <c r="A898" s="2" t="s">
        <v>3436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5" t="str">
        <f>_xlfn.XLOOKUP(PROPERTIES[[#This Row],[VEHIDCODE]],CONTROL[VEHIDCODE],CONTROL[ENGLISH])</f>
        <v>Thai Comeng XPT Concept</v>
      </c>
      <c r="F898" t="s">
        <v>782</v>
      </c>
      <c r="G898" s="45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8">
        <v>76</v>
      </c>
      <c r="R898">
        <v>4000</v>
      </c>
      <c r="S898">
        <v>160</v>
      </c>
      <c r="T898" s="25">
        <f>178/2</f>
        <v>89</v>
      </c>
      <c r="U898" s="25">
        <f>IFERROR(PROPERTIES[[#This Row],[TE_STARTING_KN]]/(PROPERTIES[[#This Row],[WEIGHT]]*9.81),0)</f>
        <v>0.11937335693974997</v>
      </c>
      <c r="V898" s="25">
        <v>0</v>
      </c>
      <c r="W898" s="21">
        <f>ROUND(IF(IFERROR(PROPERTIES[[#This Row],[TE_COEFFICIENT_CALC]],0)=0,PROPERTIES[[#This Row],[TE_COEFFICIENT_MANUAL]],PROPERTIES[[#This Row],[TE_COEFFICIENT_CALC]]),3)</f>
        <v>0.11899999999999999</v>
      </c>
      <c r="X898" s="32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1">
        <v>72</v>
      </c>
      <c r="Z898" s="7">
        <v>8</v>
      </c>
      <c r="AA898" t="s">
        <v>247</v>
      </c>
      <c r="AB898" t="s">
        <v>238</v>
      </c>
      <c r="AC898" t="s">
        <v>238</v>
      </c>
      <c r="AD898" s="2" t="s">
        <v>238</v>
      </c>
      <c r="AE898" s="2" t="s">
        <v>254</v>
      </c>
      <c r="AF898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8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8" s="2" t="str">
        <f>SUBSTITUTE(SUBSTITUTE(PROPERTIES[[#This Row],[PURCHASECOST_VALUE]], "PURCHASECOST_", ""), "_VALUE", "")</f>
        <v>DMU</v>
      </c>
      <c r="AI898" s="7" t="str" cm="1">
        <f t="array" ref="AI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898" s="43" t="b">
        <v>0</v>
      </c>
      <c r="AK898" s="8" t="b">
        <v>0</v>
      </c>
      <c r="BA898" s="7"/>
      <c r="BB898" s="8"/>
      <c r="BC898" s="9"/>
      <c r="BD898"/>
    </row>
    <row r="899" spans="1:56">
      <c r="A899" s="2" t="s">
        <v>3437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5" t="str">
        <f>_xlfn.XLOOKUP(PROPERTIES[[#This Row],[VEHIDCODE]],CONTROL[VEHIDCODE],CONTROL[ENGLISH])</f>
        <v>Comeng NSW XPT</v>
      </c>
      <c r="F899" t="s">
        <v>580</v>
      </c>
      <c r="G899" s="45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8">
        <v>76</v>
      </c>
      <c r="R899">
        <v>4000</v>
      </c>
      <c r="S899">
        <v>160</v>
      </c>
      <c r="T899" s="25">
        <f>178/2</f>
        <v>89</v>
      </c>
      <c r="U899" s="25">
        <f>IFERROR(PROPERTIES[[#This Row],[TE_STARTING_KN]]/(PROPERTIES[[#This Row],[WEIGHT]]*9.81),0)</f>
        <v>0.11937335693974997</v>
      </c>
      <c r="V899" s="25">
        <v>0</v>
      </c>
      <c r="W899" s="21">
        <f>ROUND(IF(IFERROR(PROPERTIES[[#This Row],[TE_COEFFICIENT_CALC]],0)=0,PROPERTIES[[#This Row],[TE_COEFFICIENT_MANUAL]],PROPERTIES[[#This Row],[TE_COEFFICIENT_CALC]]),3)</f>
        <v>0.11899999999999999</v>
      </c>
      <c r="X899" s="32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1">
        <v>72</v>
      </c>
      <c r="Z899" s="7">
        <v>8</v>
      </c>
      <c r="AA899" t="s">
        <v>241</v>
      </c>
      <c r="AB899" t="s">
        <v>238</v>
      </c>
      <c r="AC899" t="s">
        <v>238</v>
      </c>
      <c r="AD899" s="2" t="s">
        <v>238</v>
      </c>
      <c r="AE899" s="2" t="s">
        <v>253</v>
      </c>
      <c r="AF899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9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9" s="2" t="str">
        <f>SUBSTITUTE(SUBSTITUTE(PROPERTIES[[#This Row],[PURCHASECOST_VALUE]], "PURCHASECOST_", ""), "_VALUE", "")</f>
        <v>DMU</v>
      </c>
      <c r="AI899" s="7" t="str" cm="1">
        <f t="array" ref="AI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99" s="43" t="b">
        <v>0</v>
      </c>
      <c r="AK899" s="8" t="b">
        <v>0</v>
      </c>
      <c r="BA899" s="7"/>
      <c r="BB899" s="8"/>
      <c r="BC899" s="9"/>
      <c r="BD899"/>
    </row>
    <row r="900" spans="1:56">
      <c r="A900" s="2" t="s">
        <v>3438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5" t="str">
        <f>_xlfn.XLOOKUP(PROPERTIES[[#This Row],[VEHIDCODE]],CONTROL[VEHIDCODE],CONTROL[ENGLISH])</f>
        <v>Tangara V-Set Hybrid Concept</v>
      </c>
      <c r="F900" t="s">
        <v>580</v>
      </c>
      <c r="G900" s="45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8">
        <v>54</v>
      </c>
      <c r="R900">
        <v>1600</v>
      </c>
      <c r="S900">
        <v>130</v>
      </c>
      <c r="T900" s="25">
        <v>200</v>
      </c>
      <c r="U900" s="25">
        <f>IFERROR(PROPERTIES[[#This Row],[TE_STARTING_KN]]/(PROPERTIES[[#This Row],[WEIGHT]]*9.81),0)</f>
        <v>0.37754370068335408</v>
      </c>
      <c r="V900" s="25">
        <v>0</v>
      </c>
      <c r="W900" s="21">
        <f>ROUND(IF(IFERROR(PROPERTIES[[#This Row],[TE_COEFFICIENT_CALC]],0)=0,PROPERTIES[[#This Row],[TE_COEFFICIENT_MANUAL]],PROPERTIES[[#This Row],[TE_COEFFICIENT_CALC]]),3)</f>
        <v>0.378</v>
      </c>
      <c r="X900" s="32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1">
        <v>100</v>
      </c>
      <c r="Z900" s="7">
        <v>8</v>
      </c>
      <c r="AA900" t="s">
        <v>241</v>
      </c>
      <c r="AB900" t="s">
        <v>238</v>
      </c>
      <c r="AC900" t="s">
        <v>238</v>
      </c>
      <c r="AD900" s="2" t="s">
        <v>238</v>
      </c>
      <c r="AE900" s="2" t="s">
        <v>254</v>
      </c>
      <c r="AF900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0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0" s="2" t="str">
        <f>SUBSTITUTE(SUBSTITUTE(PROPERTIES[[#This Row],[PURCHASECOST_VALUE]], "PURCHASECOST_", ""), "_VALUE", "")</f>
        <v>EMU</v>
      </c>
      <c r="AI900" s="7" t="str" cm="1">
        <f t="array" ref="AI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0" s="43" t="b">
        <v>0</v>
      </c>
      <c r="AK900" s="8" t="b">
        <v>0</v>
      </c>
      <c r="BA900" s="7"/>
      <c r="BB900" s="8"/>
      <c r="BC900" s="9"/>
      <c r="BD900"/>
    </row>
    <row r="901" spans="1:56">
      <c r="A901" s="2" t="s">
        <v>3439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5" t="str">
        <f>_xlfn.XLOOKUP(PROPERTIES[[#This Row],[VEHIDCODE]],CONTROL[VEHIDCODE],CONTROL[ENGLISH])</f>
        <v>NSWGR 800/900 'DEB'</v>
      </c>
      <c r="F901" t="s">
        <v>580</v>
      </c>
      <c r="G901" s="45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8">
        <v>32</v>
      </c>
      <c r="R901">
        <v>480</v>
      </c>
      <c r="S901">
        <v>115</v>
      </c>
      <c r="T901" s="25">
        <v>26</v>
      </c>
      <c r="U901" s="25">
        <f>IFERROR(PROPERTIES[[#This Row],[TE_STARTING_KN]]/(PROPERTIES[[#This Row],[WEIGHT]]*9.81),0)</f>
        <v>8.2823649337410807E-2</v>
      </c>
      <c r="V901" s="25">
        <v>0</v>
      </c>
      <c r="W901" s="21">
        <f>ROUND(IF(IFERROR(PROPERTIES[[#This Row],[TE_COEFFICIENT_CALC]],0)=0,PROPERTIES[[#This Row],[TE_COEFFICIENT_MANUAL]],PROPERTIES[[#This Row],[TE_COEFFICIENT_CALC]]),3)</f>
        <v>8.3000000000000004E-2</v>
      </c>
      <c r="X901" s="32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1">
        <v>38</v>
      </c>
      <c r="Z901" s="7">
        <v>8</v>
      </c>
      <c r="AA901" t="s">
        <v>241</v>
      </c>
      <c r="AB901" t="s">
        <v>238</v>
      </c>
      <c r="AC901" t="s">
        <v>238</v>
      </c>
      <c r="AD901" s="2" t="s">
        <v>238</v>
      </c>
      <c r="AE901" s="2" t="s">
        <v>254</v>
      </c>
      <c r="AF901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1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1" s="2" t="str">
        <f>SUBSTITUTE(SUBSTITUTE(PROPERTIES[[#This Row],[PURCHASECOST_VALUE]], "PURCHASECOST_", ""), "_VALUE", "")</f>
        <v>DMU</v>
      </c>
      <c r="AI901" s="7" t="str" cm="1">
        <f t="array" ref="AI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1" s="43" t="b">
        <v>0</v>
      </c>
      <c r="AK901" s="8" t="b">
        <v>0</v>
      </c>
      <c r="BA901" s="7"/>
      <c r="BB901" s="8"/>
      <c r="BC901" s="9"/>
      <c r="BD901"/>
    </row>
    <row r="902" spans="1:56">
      <c r="A902" s="2" t="s">
        <v>3440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5" t="str">
        <f>_xlfn.XLOOKUP(PROPERTIES[[#This Row],[VEHIDCODE]],CONTROL[VEHIDCODE],CONTROL[ENGLISH])</f>
        <v>Goninan Tangara 4D Prototype</v>
      </c>
      <c r="F902" t="s">
        <v>580</v>
      </c>
      <c r="G902" s="45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8">
        <f>186/4</f>
        <v>46.5</v>
      </c>
      <c r="R902">
        <v>1824</v>
      </c>
      <c r="S902">
        <v>130</v>
      </c>
      <c r="T902" s="25">
        <v>0</v>
      </c>
      <c r="U902" s="25">
        <f>IFERROR(PROPERTIES[[#This Row],[TE_STARTING_KN]]/(PROPERTIES[[#This Row],[WEIGHT]]*9.81),0)</f>
        <v>0</v>
      </c>
      <c r="V902" s="25">
        <v>0.25</v>
      </c>
      <c r="W902" s="21">
        <f>ROUND(IF(IFERROR(PROPERTIES[[#This Row],[TE_COEFFICIENT_CALC]],0)=0,PROPERTIES[[#This Row],[TE_COEFFICIENT_MANUAL]],PROPERTIES[[#This Row],[TE_COEFFICIENT_CALC]]),3)</f>
        <v>0.25</v>
      </c>
      <c r="X902" s="32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1">
        <v>243</v>
      </c>
      <c r="Z902" s="7">
        <v>8</v>
      </c>
      <c r="AA902" t="s">
        <v>241</v>
      </c>
      <c r="AB902" t="s">
        <v>238</v>
      </c>
      <c r="AC902" t="s">
        <v>238</v>
      </c>
      <c r="AD902" s="2" t="s">
        <v>238</v>
      </c>
      <c r="AE902" s="2" t="s">
        <v>253</v>
      </c>
      <c r="AF90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2" s="2" t="str">
        <f>SUBSTITUTE(SUBSTITUTE(PROPERTIES[[#This Row],[PURCHASECOST_VALUE]], "PURCHASECOST_", ""), "_VALUE", "")</f>
        <v>EMU</v>
      </c>
      <c r="AI902" s="7" t="str" cm="1">
        <f t="array" ref="AI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2" s="43" t="b">
        <v>0</v>
      </c>
      <c r="AK902" s="8" t="b">
        <v>0</v>
      </c>
      <c r="BA902" s="7"/>
      <c r="BB902" s="8"/>
      <c r="BC902" s="9"/>
      <c r="BD902"/>
    </row>
    <row r="903" spans="1:56">
      <c r="A903" s="2" t="s">
        <v>3441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5" t="str">
        <f>_xlfn.XLOOKUP(PROPERTIES[[#This Row],[VEHIDCODE]],CONTROL[VEHIDCODE],CONTROL[ENGLISH])</f>
        <v>Goninan Tangara T-Set</v>
      </c>
      <c r="F903" t="s">
        <v>580</v>
      </c>
      <c r="G903" s="45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8">
        <v>50</v>
      </c>
      <c r="R903">
        <v>1824</v>
      </c>
      <c r="S903">
        <v>115</v>
      </c>
      <c r="T903" s="25">
        <v>0</v>
      </c>
      <c r="U903" s="25">
        <f>IFERROR(PROPERTIES[[#This Row],[TE_STARTING_KN]]/(PROPERTIES[[#This Row],[WEIGHT]]*9.81),0)</f>
        <v>0</v>
      </c>
      <c r="V903" s="25">
        <v>0.25</v>
      </c>
      <c r="W903" s="21">
        <f>ROUND(IF(IFERROR(PROPERTIES[[#This Row],[TE_COEFFICIENT_CALC]],0)=0,PROPERTIES[[#This Row],[TE_COEFFICIENT_MANUAL]],PROPERTIES[[#This Row],[TE_COEFFICIENT_CALC]]),3)</f>
        <v>0.25</v>
      </c>
      <c r="X903" s="32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1">
        <v>112</v>
      </c>
      <c r="Z903" s="7">
        <v>8</v>
      </c>
      <c r="AA903" t="s">
        <v>241</v>
      </c>
      <c r="AB903" t="s">
        <v>238</v>
      </c>
      <c r="AC903" t="s">
        <v>238</v>
      </c>
      <c r="AD903" s="2" t="s">
        <v>238</v>
      </c>
      <c r="AE903" s="2" t="s">
        <v>253</v>
      </c>
      <c r="AF903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3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3" s="2" t="str">
        <f>SUBSTITUTE(SUBSTITUTE(PROPERTIES[[#This Row],[PURCHASECOST_VALUE]], "PURCHASECOST_", ""), "_VALUE", "")</f>
        <v>EMU</v>
      </c>
      <c r="AI903" s="7" t="str" cm="1">
        <f t="array" ref="AI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3" s="43" t="b">
        <v>0</v>
      </c>
      <c r="AK903" s="8" t="b">
        <v>0</v>
      </c>
      <c r="BA903" s="7"/>
      <c r="BB903" s="8"/>
      <c r="BC903" s="9"/>
      <c r="BD903"/>
    </row>
    <row r="904" spans="1:56">
      <c r="A904" s="2" t="s">
        <v>3442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5" t="str">
        <f>_xlfn.XLOOKUP(PROPERTIES[[#This Row],[VEHIDCODE]],CONTROL[VEHIDCODE],CONTROL[ENGLISH])</f>
        <v>NSWGR 600/700</v>
      </c>
      <c r="F904" t="s">
        <v>580</v>
      </c>
      <c r="G904" s="45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8">
        <v>46</v>
      </c>
      <c r="R904">
        <v>330</v>
      </c>
      <c r="S904">
        <v>100</v>
      </c>
      <c r="T904" s="25">
        <v>0</v>
      </c>
      <c r="U904" s="25">
        <f>IFERROR(PROPERTIES[[#This Row],[TE_STARTING_KN]]/(PROPERTIES[[#This Row],[WEIGHT]]*9.81),0)</f>
        <v>0</v>
      </c>
      <c r="V904" s="25">
        <v>0.2</v>
      </c>
      <c r="W904" s="21">
        <f>ROUND(IF(IFERROR(PROPERTIES[[#This Row],[TE_COEFFICIENT_CALC]],0)=0,PROPERTIES[[#This Row],[TE_COEFFICIENT_MANUAL]],PROPERTIES[[#This Row],[TE_COEFFICIENT_CALC]]),3)</f>
        <v>0.2</v>
      </c>
      <c r="X904" s="32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1">
        <v>24</v>
      </c>
      <c r="Z904" s="7">
        <v>8</v>
      </c>
      <c r="AA904" t="s">
        <v>241</v>
      </c>
      <c r="AB904" t="s">
        <v>238</v>
      </c>
      <c r="AC904" t="s">
        <v>238</v>
      </c>
      <c r="AD904" s="2" t="s">
        <v>238</v>
      </c>
      <c r="AE904" s="2" t="s">
        <v>253</v>
      </c>
      <c r="AF904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4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4" s="2" t="str">
        <f>SUBSTITUTE(SUBSTITUTE(PROPERTIES[[#This Row],[PURCHASECOST_VALUE]], "PURCHASECOST_", ""), "_VALUE", "")</f>
        <v>DMU</v>
      </c>
      <c r="AI904" s="7" t="str" cm="1">
        <f t="array" ref="AI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4" s="43" t="b">
        <v>0</v>
      </c>
      <c r="AK904" s="8" t="b">
        <v>0</v>
      </c>
      <c r="BA904" s="7"/>
      <c r="BB904" s="8"/>
      <c r="BC904" s="9"/>
      <c r="BD904"/>
    </row>
    <row r="905" spans="1:56">
      <c r="A905" s="2" t="s">
        <v>3443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5" t="str">
        <f>_xlfn.XLOOKUP(PROPERTIES[[#This Row],[VEHIDCODE]],CONTROL[VEHIDCODE],CONTROL[ENGLISH])</f>
        <v>Kawasaki RM 'Silver Fern'</v>
      </c>
      <c r="F905" t="s">
        <v>736</v>
      </c>
      <c r="G905" s="45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8">
        <f>INT(107/3)</f>
        <v>35</v>
      </c>
      <c r="R905">
        <v>900</v>
      </c>
      <c r="S905">
        <v>120</v>
      </c>
      <c r="T905" s="25">
        <v>0</v>
      </c>
      <c r="U905" s="25">
        <f>IFERROR(PROPERTIES[[#This Row],[TE_STARTING_KN]]/(PROPERTIES[[#This Row],[WEIGHT]]*9.81),0)</f>
        <v>0</v>
      </c>
      <c r="V905" s="25">
        <v>0.2</v>
      </c>
      <c r="W905" s="21">
        <f>ROUND(IF(IFERROR(PROPERTIES[[#This Row],[TE_COEFFICIENT_CALC]],0)=0,PROPERTIES[[#This Row],[TE_COEFFICIENT_MANUAL]],PROPERTIES[[#This Row],[TE_COEFFICIENT_CALC]]),3)</f>
        <v>0.2</v>
      </c>
      <c r="X905" s="32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1">
        <v>32</v>
      </c>
      <c r="Z905" s="7">
        <v>8</v>
      </c>
      <c r="AA905" t="s">
        <v>241</v>
      </c>
      <c r="AB905" t="s">
        <v>238</v>
      </c>
      <c r="AC905" t="s">
        <v>238</v>
      </c>
      <c r="AD905" s="2" t="s">
        <v>238</v>
      </c>
      <c r="AE905" s="2" t="s">
        <v>253</v>
      </c>
      <c r="AF905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5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5" s="2" t="str">
        <f>SUBSTITUTE(SUBSTITUTE(PROPERTIES[[#This Row],[PURCHASECOST_VALUE]], "PURCHASECOST_", ""), "_VALUE", "")</f>
        <v>DMU</v>
      </c>
      <c r="AI905" s="7" t="str" cm="1">
        <f t="array" ref="AI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5" s="43" t="b">
        <v>0</v>
      </c>
      <c r="AK905" s="8" t="b">
        <v>0</v>
      </c>
      <c r="BA905" s="7"/>
      <c r="BB905" s="8"/>
      <c r="BC905" s="9"/>
      <c r="BD905"/>
    </row>
    <row r="906" spans="1:56">
      <c r="A906" s="2" t="s">
        <v>3444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5" t="str">
        <f>_xlfn.XLOOKUP(PROPERTIES[[#This Row],[VEHIDCODE]],CONTROL[VEHIDCODE],CONTROL[ENGLISH])</f>
        <v>Comeng W Class 'Sputnik'</v>
      </c>
      <c r="F906" t="s">
        <v>580</v>
      </c>
      <c r="G906" s="45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8">
        <v>51.5</v>
      </c>
      <c r="R906">
        <v>760</v>
      </c>
      <c r="S906">
        <v>120</v>
      </c>
      <c r="T906" s="25">
        <v>0</v>
      </c>
      <c r="U906" s="25">
        <f>IFERROR(PROPERTIES[[#This Row],[TE_STARTING_KN]]/(PROPERTIES[[#This Row],[WEIGHT]]*9.81),0)</f>
        <v>0</v>
      </c>
      <c r="V906" s="25">
        <v>0.2</v>
      </c>
      <c r="W906" s="21">
        <f>ROUND(IF(IFERROR(PROPERTIES[[#This Row],[TE_COEFFICIENT_CALC]],0)=0,PROPERTIES[[#This Row],[TE_COEFFICIENT_MANUAL]],PROPERTIES[[#This Row],[TE_COEFFICIENT_CALC]]),3)</f>
        <v>0.2</v>
      </c>
      <c r="X906" s="32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1">
        <v>70</v>
      </c>
      <c r="Z906" s="7">
        <v>8</v>
      </c>
      <c r="AA906" t="s">
        <v>241</v>
      </c>
      <c r="AB906" t="s">
        <v>238</v>
      </c>
      <c r="AC906" t="s">
        <v>238</v>
      </c>
      <c r="AD906" s="2" t="s">
        <v>238</v>
      </c>
      <c r="AE906" s="2" t="s">
        <v>253</v>
      </c>
      <c r="AF906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6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6" s="2" t="str">
        <f>SUBSTITUTE(SUBSTITUTE(PROPERTIES[[#This Row],[PURCHASECOST_VALUE]], "PURCHASECOST_", ""), "_VALUE", "")</f>
        <v>EMU</v>
      </c>
      <c r="AI906" s="7" t="str" cm="1">
        <f t="array" ref="AI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6" s="43" t="b">
        <v>0</v>
      </c>
      <c r="AK906" s="8" t="b">
        <v>0</v>
      </c>
      <c r="BA906" s="7"/>
      <c r="BB906" s="8"/>
      <c r="BC906" s="9"/>
      <c r="BD906"/>
    </row>
    <row r="907" spans="1:56">
      <c r="A907" s="2" t="s">
        <v>3445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5" t="str">
        <f>_xlfn.XLOOKUP(PROPERTIES[[#This Row],[VEHIDCODE]],CONTROL[VEHIDCODE],CONTROL[ENGLISH])</f>
        <v>Leeds/Clyde 'Standard' EMU</v>
      </c>
      <c r="F907" t="s">
        <v>580</v>
      </c>
      <c r="G907" s="45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8">
        <v>43</v>
      </c>
      <c r="R907">
        <v>360</v>
      </c>
      <c r="S907">
        <v>80</v>
      </c>
      <c r="T907" s="25">
        <v>0</v>
      </c>
      <c r="U907" s="25">
        <f>IFERROR(PROPERTIES[[#This Row],[TE_STARTING_KN]]/(PROPERTIES[[#This Row],[WEIGHT]]*9.81),0)</f>
        <v>0</v>
      </c>
      <c r="V907" s="25">
        <v>0.2</v>
      </c>
      <c r="W907" s="21">
        <f>ROUND(IF(IFERROR(PROPERTIES[[#This Row],[TE_COEFFICIENT_CALC]],0)=0,PROPERTIES[[#This Row],[TE_COEFFICIENT_MANUAL]],PROPERTIES[[#This Row],[TE_COEFFICIENT_CALC]]),3)</f>
        <v>0.2</v>
      </c>
      <c r="X907" s="32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1">
        <v>90</v>
      </c>
      <c r="Z907" s="7">
        <v>8</v>
      </c>
      <c r="AA907" t="s">
        <v>241</v>
      </c>
      <c r="AB907" t="s">
        <v>238</v>
      </c>
      <c r="AC907" t="s">
        <v>238</v>
      </c>
      <c r="AD907" s="2" t="s">
        <v>238</v>
      </c>
      <c r="AE907" s="2" t="s">
        <v>253</v>
      </c>
      <c r="AF90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7" s="2" t="str">
        <f>SUBSTITUTE(SUBSTITUTE(PROPERTIES[[#This Row],[PURCHASECOST_VALUE]], "PURCHASECOST_", ""), "_VALUE", "")</f>
        <v>EMU</v>
      </c>
      <c r="AI907" s="7" t="str" cm="1">
        <f t="array" ref="AI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7" s="43" t="b">
        <v>0</v>
      </c>
      <c r="AK907" s="8" t="b">
        <v>0</v>
      </c>
      <c r="BA907" s="7"/>
      <c r="BB907" s="8"/>
      <c r="BC907" s="9"/>
      <c r="BD907"/>
    </row>
    <row r="908" spans="1:56">
      <c r="A908" s="2" t="s">
        <v>3446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5" t="str">
        <f>_xlfn.XLOOKUP(PROPERTIES[[#This Row],[VEHIDCODE]],CONTROL[VEHIDCODE],CONTROL[ENGLISH])</f>
        <v>NSWGR 'Tulloch' EMU</v>
      </c>
      <c r="F908" t="s">
        <v>580</v>
      </c>
      <c r="G908" s="45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8">
        <v>43</v>
      </c>
      <c r="R908">
        <v>360</v>
      </c>
      <c r="S908">
        <v>110</v>
      </c>
      <c r="T908" s="25">
        <v>0</v>
      </c>
      <c r="U908" s="25">
        <f>IFERROR(PROPERTIES[[#This Row],[TE_STARTING_KN]]/(PROPERTIES[[#This Row],[WEIGHT]]*9.81),0)</f>
        <v>0</v>
      </c>
      <c r="V908" s="25">
        <v>0.22</v>
      </c>
      <c r="W908" s="21">
        <f>ROUND(IF(IFERROR(PROPERTIES[[#This Row],[TE_COEFFICIENT_CALC]],0)=0,PROPERTIES[[#This Row],[TE_COEFFICIENT_MANUAL]],PROPERTIES[[#This Row],[TE_COEFFICIENT_CALC]]),3)</f>
        <v>0.22</v>
      </c>
      <c r="X908" s="32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1">
        <v>90</v>
      </c>
      <c r="Z908" s="7">
        <v>8</v>
      </c>
      <c r="AA908" t="s">
        <v>241</v>
      </c>
      <c r="AB908" t="s">
        <v>238</v>
      </c>
      <c r="AC908" t="s">
        <v>238</v>
      </c>
      <c r="AD908" s="2" t="s">
        <v>238</v>
      </c>
      <c r="AE908" s="2" t="s">
        <v>253</v>
      </c>
      <c r="AF90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8" s="2" t="str">
        <f>SUBSTITUTE(SUBSTITUTE(PROPERTIES[[#This Row],[PURCHASECOST_VALUE]], "PURCHASECOST_", ""), "_VALUE", "")</f>
        <v>EMU</v>
      </c>
      <c r="AI908" s="7" t="str" cm="1">
        <f t="array" ref="AI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8" s="43" t="b">
        <v>0</v>
      </c>
      <c r="AK908" s="8" t="b">
        <v>0</v>
      </c>
      <c r="BA908" s="7"/>
      <c r="BB908" s="8"/>
      <c r="BC908" s="9"/>
      <c r="BD908"/>
    </row>
    <row r="909" spans="1:56">
      <c r="A909" s="2" t="s">
        <v>3447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5" t="str">
        <f>_xlfn.XLOOKUP(PROPERTIES[[#This Row],[VEHIDCODE]],CONTROL[VEHIDCODE],CONTROL[ENGLISH])</f>
        <v>Alstom X'Trapolis 100 Melbourne</v>
      </c>
      <c r="F909" t="s">
        <v>580</v>
      </c>
      <c r="G909" s="45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8">
        <v>43</v>
      </c>
      <c r="R909">
        <v>1930</v>
      </c>
      <c r="S909">
        <v>130</v>
      </c>
      <c r="T909" s="25">
        <v>95</v>
      </c>
      <c r="U909" s="24">
        <f>IFERROR(PROPERTIES[[#This Row],[TE_STARTING_KN]]/(PROPERTIES[[#This Row],[WEIGHT]]*9.81),0)</f>
        <v>0.2252092075006519</v>
      </c>
      <c r="V909" s="24">
        <v>0</v>
      </c>
      <c r="W909" s="21">
        <f>ROUND(IF(IFERROR(PROPERTIES[[#This Row],[TE_COEFFICIENT_CALC]],0)=0,PROPERTIES[[#This Row],[TE_COEFFICIENT_MANUAL]],PROPERTIES[[#This Row],[TE_COEFFICIENT_CALC]]),3)</f>
        <v>0.22500000000000001</v>
      </c>
      <c r="X909" s="32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1">
        <v>72</v>
      </c>
      <c r="Z909" s="7">
        <v>8</v>
      </c>
      <c r="AA909" t="s">
        <v>241</v>
      </c>
      <c r="AB909" t="s">
        <v>238</v>
      </c>
      <c r="AC909" t="s">
        <v>238</v>
      </c>
      <c r="AD909" s="2" t="s">
        <v>238</v>
      </c>
      <c r="AE909" s="2" t="s">
        <v>253</v>
      </c>
      <c r="AF909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9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9" s="2" t="str">
        <f>SUBSTITUTE(SUBSTITUTE(PROPERTIES[[#This Row],[PURCHASECOST_VALUE]], "PURCHASECOST_", ""), "_VALUE", "")</f>
        <v>EMU</v>
      </c>
      <c r="AI909" s="7" t="str" cm="1">
        <f t="array" ref="AI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9" s="43" t="b">
        <v>0</v>
      </c>
      <c r="AK909" s="8" t="b">
        <v>0</v>
      </c>
      <c r="BA909" s="7"/>
      <c r="BB909" s="8"/>
      <c r="BC909" s="9"/>
      <c r="BD909"/>
    </row>
    <row r="910" spans="1:56">
      <c r="A910" s="2" t="s">
        <v>1896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5" t="str">
        <f>_xlfn.XLOOKUP(PROPERTIES[[#This Row],[VEHIDCODE]],CONTROL[VEHIDCODE],CONTROL[ENGLISH])</f>
        <v>Early American End-Platform Coach [Smaller]</v>
      </c>
      <c r="G910" s="45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8">
        <v>26</v>
      </c>
      <c r="R910">
        <v>0</v>
      </c>
      <c r="S910">
        <v>80</v>
      </c>
      <c r="T910" s="25">
        <v>0</v>
      </c>
      <c r="U910" s="24">
        <f>IFERROR(PROPERTIES[[#This Row],[TE_STARTING_KN]]/(PROPERTIES[[#This Row],[WEIGHT]]*9.81),0)</f>
        <v>0</v>
      </c>
      <c r="V910" s="24">
        <v>0.3</v>
      </c>
      <c r="W910" s="21">
        <f>ROUND(IF(IFERROR(PROPERTIES[[#This Row],[TE_COEFFICIENT_CALC]],0)=0,PROPERTIES[[#This Row],[TE_COEFFICIENT_MANUAL]],PROPERTIES[[#This Row],[TE_COEFFICIENT_CALC]]),3)</f>
        <v>0.3</v>
      </c>
      <c r="X910" s="9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1">
        <v>0</v>
      </c>
      <c r="Z910" s="7">
        <v>0</v>
      </c>
      <c r="AA910" t="s">
        <v>241</v>
      </c>
      <c r="AB910" t="s">
        <v>238</v>
      </c>
      <c r="AC910" t="s">
        <v>238</v>
      </c>
      <c r="AD910" s="2" t="s">
        <v>238</v>
      </c>
      <c r="AE910" s="2" t="s">
        <v>253</v>
      </c>
      <c r="AF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0" s="2" t="str">
        <f>SUBSTITUTE(SUBSTITUTE(PROPERTIES[[#This Row],[PURCHASECOST_VALUE]], "PURCHASECOST_", ""), "_VALUE", "")</f>
        <v>COACH</v>
      </c>
      <c r="AI910" s="7" t="str" cm="1">
        <f t="array" ref="AI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0" s="43" t="b">
        <v>0</v>
      </c>
      <c r="AK910" s="8" t="b">
        <v>0</v>
      </c>
      <c r="BA910" s="7"/>
      <c r="BB910" s="8"/>
      <c r="BC910" s="9"/>
      <c r="BD910"/>
    </row>
    <row r="911" spans="1:56">
      <c r="A911" s="2" t="s">
        <v>1898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5" t="str">
        <f>_xlfn.XLOOKUP(PROPERTIES[[#This Row],[VEHIDCODE]],CONTROL[VEHIDCODE],CONTROL[ENGLISH])</f>
        <v>Early American End-Platform Mail Coach [Smaller]</v>
      </c>
      <c r="G911" s="45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8">
        <v>26</v>
      </c>
      <c r="R911">
        <v>0</v>
      </c>
      <c r="S911">
        <v>80</v>
      </c>
      <c r="T911" s="25">
        <v>0</v>
      </c>
      <c r="U911" s="24">
        <f>IFERROR(PROPERTIES[[#This Row],[TE_STARTING_KN]]/(PROPERTIES[[#This Row],[WEIGHT]]*9.81),0)</f>
        <v>0</v>
      </c>
      <c r="V911" s="24">
        <v>0.3</v>
      </c>
      <c r="W911" s="21">
        <f>ROUND(IF(IFERROR(PROPERTIES[[#This Row],[TE_COEFFICIENT_CALC]],0)=0,PROPERTIES[[#This Row],[TE_COEFFICIENT_MANUAL]],PROPERTIES[[#This Row],[TE_COEFFICIENT_CALC]]),3)</f>
        <v>0.3</v>
      </c>
      <c r="X911" s="9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1">
        <v>0</v>
      </c>
      <c r="Z911" s="7">
        <v>0</v>
      </c>
      <c r="AA911" t="s">
        <v>241</v>
      </c>
      <c r="AB911" t="s">
        <v>238</v>
      </c>
      <c r="AC911" t="s">
        <v>238</v>
      </c>
      <c r="AD911" s="2" t="s">
        <v>238</v>
      </c>
      <c r="AE911" s="2" t="s">
        <v>253</v>
      </c>
      <c r="AF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1" s="2" t="str">
        <f>SUBSTITUTE(SUBSTITUTE(PROPERTIES[[#This Row],[PURCHASECOST_VALUE]], "PURCHASECOST_", ""), "_VALUE", "")</f>
        <v>COACH</v>
      </c>
      <c r="AI911" s="7" t="str" cm="1">
        <f t="array" ref="AI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1" s="43" t="b">
        <v>0</v>
      </c>
      <c r="AK911" s="8" t="b">
        <v>0</v>
      </c>
      <c r="BA911" s="7"/>
      <c r="BB911" s="8"/>
      <c r="BC911" s="9"/>
      <c r="BD911"/>
    </row>
    <row r="912" spans="1:56">
      <c r="A912" s="2" t="s">
        <v>1899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5" t="str">
        <f>_xlfn.XLOOKUP(PROPERTIES[[#This Row],[VEHIDCODE]],CONTROL[VEHIDCODE],CONTROL[ENGLISH])</f>
        <v>Early 2-axle Compartment Coach</v>
      </c>
      <c r="G912" s="45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8">
        <v>10</v>
      </c>
      <c r="R912">
        <v>0</v>
      </c>
      <c r="S912">
        <v>60</v>
      </c>
      <c r="T912" s="25">
        <v>0</v>
      </c>
      <c r="U912" s="24">
        <f>IFERROR(PROPERTIES[[#This Row],[TE_STARTING_KN]]/(PROPERTIES[[#This Row],[WEIGHT]]*9.81),0)</f>
        <v>0</v>
      </c>
      <c r="V912" s="24">
        <v>0.3</v>
      </c>
      <c r="W912" s="21">
        <f>ROUND(IF(IFERROR(PROPERTIES[[#This Row],[TE_COEFFICIENT_CALC]],0)=0,PROPERTIES[[#This Row],[TE_COEFFICIENT_MANUAL]],PROPERTIES[[#This Row],[TE_COEFFICIENT_CALC]]),3)</f>
        <v>0.3</v>
      </c>
      <c r="X912" s="9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1">
        <v>0</v>
      </c>
      <c r="Z912" s="7">
        <v>0</v>
      </c>
      <c r="AA912" t="s">
        <v>241</v>
      </c>
      <c r="AB912" t="s">
        <v>238</v>
      </c>
      <c r="AC912" t="s">
        <v>238</v>
      </c>
      <c r="AD912" s="2" t="s">
        <v>238</v>
      </c>
      <c r="AE912" s="2" t="s">
        <v>253</v>
      </c>
      <c r="AF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2" s="2" t="str">
        <f>SUBSTITUTE(SUBSTITUTE(PROPERTIES[[#This Row],[PURCHASECOST_VALUE]], "PURCHASECOST_", ""), "_VALUE", "")</f>
        <v>COACH</v>
      </c>
      <c r="AI912" s="7" t="str" cm="1">
        <f t="array" ref="AI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2" s="43" t="b">
        <v>0</v>
      </c>
      <c r="AK912" s="8" t="b">
        <v>0</v>
      </c>
      <c r="BA912" s="7"/>
      <c r="BB912" s="8"/>
      <c r="BC912" s="9"/>
      <c r="BD912"/>
    </row>
    <row r="913" spans="1:56">
      <c r="A913" s="2" t="s">
        <v>1900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5" t="str">
        <f>_xlfn.XLOOKUP(PROPERTIES[[#This Row],[VEHIDCODE]],CONTROL[VEHIDCODE],CONTROL[ENGLISH])</f>
        <v>Early 2-axle Mail Coach</v>
      </c>
      <c r="G913" s="45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8">
        <v>10</v>
      </c>
      <c r="R913">
        <v>0</v>
      </c>
      <c r="S913">
        <v>60</v>
      </c>
      <c r="T913" s="25">
        <v>0</v>
      </c>
      <c r="U913" s="24">
        <f>IFERROR(PROPERTIES[[#This Row],[TE_STARTING_KN]]/(PROPERTIES[[#This Row],[WEIGHT]]*9.81),0)</f>
        <v>0</v>
      </c>
      <c r="V913" s="24">
        <v>0.3</v>
      </c>
      <c r="W913" s="21">
        <f>ROUND(IF(IFERROR(PROPERTIES[[#This Row],[TE_COEFFICIENT_CALC]],0)=0,PROPERTIES[[#This Row],[TE_COEFFICIENT_MANUAL]],PROPERTIES[[#This Row],[TE_COEFFICIENT_CALC]]),3)</f>
        <v>0.3</v>
      </c>
      <c r="X913" s="9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1">
        <v>0</v>
      </c>
      <c r="Z913" s="7">
        <v>0</v>
      </c>
      <c r="AA913" t="s">
        <v>241</v>
      </c>
      <c r="AB913" t="s">
        <v>238</v>
      </c>
      <c r="AC913" t="s">
        <v>238</v>
      </c>
      <c r="AD913" s="2" t="s">
        <v>238</v>
      </c>
      <c r="AE913" s="2" t="s">
        <v>253</v>
      </c>
      <c r="AF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3" s="2" t="str">
        <f>SUBSTITUTE(SUBSTITUTE(PROPERTIES[[#This Row],[PURCHASECOST_VALUE]], "PURCHASECOST_", ""), "_VALUE", "")</f>
        <v>COACH</v>
      </c>
      <c r="AI913" s="7" t="str" cm="1">
        <f t="array" ref="AI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3" s="43" t="b">
        <v>0</v>
      </c>
      <c r="AK913" s="8" t="b">
        <v>0</v>
      </c>
      <c r="BA913" s="7"/>
      <c r="BB913" s="8"/>
      <c r="BC913" s="9"/>
      <c r="BD913"/>
    </row>
    <row r="914" spans="1:56">
      <c r="A914" t="s">
        <v>1903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5" t="str">
        <f>_xlfn.XLOOKUP(PROPERTIES[[#This Row],[VEHIDCODE]],CONTROL[VEHIDCODE],CONTROL[ENGLISH])</f>
        <v>Early 2-axle End-Platform Coach</v>
      </c>
      <c r="G914" s="45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8">
        <v>15</v>
      </c>
      <c r="R914">
        <v>0</v>
      </c>
      <c r="S914">
        <v>60</v>
      </c>
      <c r="T914" s="25">
        <v>0</v>
      </c>
      <c r="U914" s="25">
        <f>IFERROR(PROPERTIES[[#This Row],[TE_STARTING_KN]]/(PROPERTIES[[#This Row],[WEIGHT]]*9.81),0)</f>
        <v>0</v>
      </c>
      <c r="V914" s="24">
        <v>0.3</v>
      </c>
      <c r="W914" s="21">
        <f>ROUND(IF(IFERROR(PROPERTIES[[#This Row],[TE_COEFFICIENT_CALC]],0)=0,PROPERTIES[[#This Row],[TE_COEFFICIENT_MANUAL]],PROPERTIES[[#This Row],[TE_COEFFICIENT_CALC]]),3)</f>
        <v>0.3</v>
      </c>
      <c r="X914" s="32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1">
        <v>0</v>
      </c>
      <c r="Z914" s="7">
        <v>0</v>
      </c>
      <c r="AA914" t="s">
        <v>241</v>
      </c>
      <c r="AB914" t="s">
        <v>238</v>
      </c>
      <c r="AC914" t="s">
        <v>238</v>
      </c>
      <c r="AD914" s="2" t="s">
        <v>238</v>
      </c>
      <c r="AE914" s="2" t="s">
        <v>253</v>
      </c>
      <c r="AF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4" s="2" t="str">
        <f>SUBSTITUTE(SUBSTITUTE(PROPERTIES[[#This Row],[PURCHASECOST_VALUE]], "PURCHASECOST_", ""), "_VALUE", "")</f>
        <v>COACH</v>
      </c>
      <c r="AI914" s="7" t="str" cm="1">
        <f t="array" ref="AI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4" s="43" t="b">
        <v>0</v>
      </c>
      <c r="AK914" s="8" t="b">
        <v>0</v>
      </c>
      <c r="BA914" s="7"/>
      <c r="BB914" s="8"/>
      <c r="BC914" s="9"/>
      <c r="BD914"/>
    </row>
    <row r="915" spans="1:56">
      <c r="A915" s="2" t="s">
        <v>1904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5" t="str">
        <f>_xlfn.XLOOKUP(PROPERTIES[[#This Row],[VEHIDCODE]],CONTROL[VEHIDCODE],CONTROL[ENGLISH])</f>
        <v>Early 2-axle Suburban Coach</v>
      </c>
      <c r="G915" s="45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8">
        <v>14</v>
      </c>
      <c r="R915">
        <v>0</v>
      </c>
      <c r="S915">
        <v>60</v>
      </c>
      <c r="T915" s="25">
        <v>0</v>
      </c>
      <c r="U915" s="25">
        <f>IFERROR(PROPERTIES[[#This Row],[TE_STARTING_KN]]/(PROPERTIES[[#This Row],[WEIGHT]]*9.81),0)</f>
        <v>0</v>
      </c>
      <c r="V915" s="24">
        <v>0.3</v>
      </c>
      <c r="W915" s="21">
        <f>ROUND(IF(IFERROR(PROPERTIES[[#This Row],[TE_COEFFICIENT_CALC]],0)=0,PROPERTIES[[#This Row],[TE_COEFFICIENT_MANUAL]],PROPERTIES[[#This Row],[TE_COEFFICIENT_CALC]]),3)</f>
        <v>0.3</v>
      </c>
      <c r="X915" s="32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1">
        <v>0</v>
      </c>
      <c r="Z915" s="7">
        <v>0</v>
      </c>
      <c r="AA915" t="s">
        <v>241</v>
      </c>
      <c r="AB915" t="s">
        <v>238</v>
      </c>
      <c r="AC915" t="s">
        <v>238</v>
      </c>
      <c r="AD915" s="2" t="s">
        <v>238</v>
      </c>
      <c r="AE915" s="2" t="s">
        <v>253</v>
      </c>
      <c r="AF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5" s="2" t="str">
        <f>SUBSTITUTE(SUBSTITUTE(PROPERTIES[[#This Row],[PURCHASECOST_VALUE]], "PURCHASECOST_", ""), "_VALUE", "")</f>
        <v>COACH</v>
      </c>
      <c r="AI915" s="7" t="str" cm="1">
        <f t="array" ref="AI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5" s="43" t="b">
        <v>0</v>
      </c>
      <c r="AK915" s="8" t="b">
        <v>0</v>
      </c>
      <c r="BA915" s="7"/>
      <c r="BB915" s="8"/>
      <c r="BC915" s="9"/>
      <c r="BD915"/>
    </row>
    <row r="916" spans="1:56">
      <c r="A916" s="2" t="s">
        <v>1907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5" t="str">
        <f>_xlfn.XLOOKUP(PROPERTIES[[#This Row],[VEHIDCODE]],CONTROL[VEHIDCODE],CONTROL[ENGLISH])</f>
        <v>BREL Mk3 Coach</v>
      </c>
      <c r="G916" s="45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8">
        <v>35</v>
      </c>
      <c r="R916">
        <v>0</v>
      </c>
      <c r="S916">
        <v>160</v>
      </c>
      <c r="T916" s="25">
        <v>0</v>
      </c>
      <c r="U916" s="25">
        <f>IFERROR(PROPERTIES[[#This Row],[TE_STARTING_KN]]/(PROPERTIES[[#This Row],[WEIGHT]]*9.81),0)</f>
        <v>0</v>
      </c>
      <c r="V916" s="25">
        <v>0.3</v>
      </c>
      <c r="W916" s="21">
        <f>ROUND(IF(IFERROR(PROPERTIES[[#This Row],[TE_COEFFICIENT_CALC]],0)=0,PROPERTIES[[#This Row],[TE_COEFFICIENT_MANUAL]],PROPERTIES[[#This Row],[TE_COEFFICIENT_CALC]]),3)</f>
        <v>0.3</v>
      </c>
      <c r="X916" s="32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1">
        <v>0</v>
      </c>
      <c r="Z916" s="7">
        <v>0</v>
      </c>
      <c r="AA916" t="s">
        <v>2010</v>
      </c>
      <c r="AB916" t="s">
        <v>241</v>
      </c>
      <c r="AC916" t="s">
        <v>238</v>
      </c>
      <c r="AD916" s="2" t="s">
        <v>238</v>
      </c>
      <c r="AE916" s="2" t="s">
        <v>253</v>
      </c>
      <c r="AF916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6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6" s="2" t="str">
        <f>SUBSTITUTE(SUBSTITUTE(PROPERTIES[[#This Row],[PURCHASECOST_VALUE]], "PURCHASECOST_", ""), "_VALUE", "")</f>
        <v>COACH</v>
      </c>
      <c r="AI916" s="7" t="str" cm="1">
        <f t="array" ref="AI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16" s="43" t="b">
        <v>0</v>
      </c>
      <c r="AK916" s="8" t="b">
        <v>0</v>
      </c>
      <c r="BA916" s="7"/>
      <c r="BB916" s="8"/>
      <c r="BC916" s="9"/>
      <c r="BD916"/>
    </row>
    <row r="917" spans="1:56">
      <c r="A917" s="2" t="s">
        <v>1908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5" t="str">
        <f>_xlfn.XLOOKUP(PROPERTIES[[#This Row],[VEHIDCODE]],CONTROL[VEHIDCODE],CONTROL[ENGLISH])</f>
        <v>BREL Mk3 Mail Coach</v>
      </c>
      <c r="G917" s="45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8">
        <v>35</v>
      </c>
      <c r="R917">
        <v>0</v>
      </c>
      <c r="S917">
        <v>160</v>
      </c>
      <c r="T917" s="25">
        <v>0</v>
      </c>
      <c r="U917" s="25">
        <f>IFERROR(PROPERTIES[[#This Row],[TE_STARTING_KN]]/(PROPERTIES[[#This Row],[WEIGHT]]*9.81),0)</f>
        <v>0</v>
      </c>
      <c r="V917" s="25">
        <v>0.3</v>
      </c>
      <c r="W917" s="21">
        <f>ROUND(IF(IFERROR(PROPERTIES[[#This Row],[TE_COEFFICIENT_CALC]],0)=0,PROPERTIES[[#This Row],[TE_COEFFICIENT_MANUAL]],PROPERTIES[[#This Row],[TE_COEFFICIENT_CALC]]),3)</f>
        <v>0.3</v>
      </c>
      <c r="X917" s="32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1">
        <v>0</v>
      </c>
      <c r="Z917" s="7">
        <v>0</v>
      </c>
      <c r="AA917" t="s">
        <v>2010</v>
      </c>
      <c r="AB917" t="s">
        <v>241</v>
      </c>
      <c r="AC917" t="s">
        <v>238</v>
      </c>
      <c r="AD917" s="2" t="s">
        <v>238</v>
      </c>
      <c r="AE917" s="2" t="s">
        <v>253</v>
      </c>
      <c r="AF917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7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7" s="2" t="str">
        <f>SUBSTITUTE(SUBSTITUTE(PROPERTIES[[#This Row],[PURCHASECOST_VALUE]], "PURCHASECOST_", ""), "_VALUE", "")</f>
        <v>COACH</v>
      </c>
      <c r="AI917" s="7" t="str" cm="1">
        <f t="array" ref="AI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7" s="43" t="b">
        <v>0</v>
      </c>
      <c r="AK917" s="8" t="b">
        <v>0</v>
      </c>
      <c r="BA917" s="7"/>
      <c r="BB917" s="8"/>
      <c r="BC917" s="9"/>
      <c r="BD917"/>
    </row>
    <row r="918" spans="1:56">
      <c r="A918" s="2" t="s">
        <v>1910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5" t="str">
        <f>_xlfn.XLOOKUP(PROPERTIES[[#This Row],[VEHIDCODE]],CONTROL[VEHIDCODE],CONTROL[ENGLISH])</f>
        <v>Comeng SA2000 SDD Concept</v>
      </c>
      <c r="G918" s="45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8">
        <v>48</v>
      </c>
      <c r="R918">
        <v>0</v>
      </c>
      <c r="S918">
        <v>115</v>
      </c>
      <c r="T918" s="25">
        <v>0</v>
      </c>
      <c r="U918" s="25">
        <f>IFERROR(PROPERTIES[[#This Row],[TE_STARTING_KN]]/(PROPERTIES[[#This Row],[WEIGHT]]*9.81),0)</f>
        <v>0</v>
      </c>
      <c r="V918" s="25">
        <v>0.3</v>
      </c>
      <c r="W918" s="21">
        <f>ROUND(IF(IFERROR(PROPERTIES[[#This Row],[TE_COEFFICIENT_CALC]],0)=0,PROPERTIES[[#This Row],[TE_COEFFICIENT_MANUAL]],PROPERTIES[[#This Row],[TE_COEFFICIENT_CALC]]),3)</f>
        <v>0.3</v>
      </c>
      <c r="X918" s="32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1">
        <v>0</v>
      </c>
      <c r="Z918" s="7">
        <v>0</v>
      </c>
      <c r="AA918" t="s">
        <v>241</v>
      </c>
      <c r="AB918" t="s">
        <v>238</v>
      </c>
      <c r="AC918" t="s">
        <v>238</v>
      </c>
      <c r="AD918" s="2" t="s">
        <v>238</v>
      </c>
      <c r="AE918" s="2" t="s">
        <v>254</v>
      </c>
      <c r="AF918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8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8" s="2" t="str">
        <f>SUBSTITUTE(SUBSTITUTE(PROPERTIES[[#This Row],[PURCHASECOST_VALUE]], "PURCHASECOST_", ""), "_VALUE", "")</f>
        <v>COACH</v>
      </c>
      <c r="AI918" s="7" t="str" cm="1">
        <f t="array" ref="AI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8" s="43" t="b">
        <v>0</v>
      </c>
      <c r="AK918" s="8" t="b">
        <v>0</v>
      </c>
      <c r="BA918" s="7"/>
      <c r="BB918" s="8"/>
      <c r="BC918" s="9"/>
      <c r="BD918"/>
    </row>
    <row r="919" spans="1:56">
      <c r="A919" s="2" t="s">
        <v>1912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5" t="str">
        <f>_xlfn.XLOOKUP(PROPERTIES[[#This Row],[VEHIDCODE]],CONTROL[VEHIDCODE],CONTROL[ENGLISH])</f>
        <v>Melbourne/Goninan 4D Coach Concept</v>
      </c>
      <c r="G919" s="45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8">
        <v>46</v>
      </c>
      <c r="R919">
        <v>0</v>
      </c>
      <c r="S919">
        <v>115</v>
      </c>
      <c r="T919" s="25">
        <v>0</v>
      </c>
      <c r="U919" s="25">
        <f>IFERROR(PROPERTIES[[#This Row],[TE_STARTING_KN]]/(PROPERTIES[[#This Row],[WEIGHT]]*9.81),0)</f>
        <v>0</v>
      </c>
      <c r="V919" s="25">
        <v>0.3</v>
      </c>
      <c r="W919" s="21">
        <f>ROUND(IF(IFERROR(PROPERTIES[[#This Row],[TE_COEFFICIENT_CALC]],0)=0,PROPERTIES[[#This Row],[TE_COEFFICIENT_MANUAL]],PROPERTIES[[#This Row],[TE_COEFFICIENT_CALC]]),3)</f>
        <v>0.3</v>
      </c>
      <c r="X919" s="32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1">
        <v>0</v>
      </c>
      <c r="Z919" s="7">
        <v>0</v>
      </c>
      <c r="AA919" t="s">
        <v>241</v>
      </c>
      <c r="AB919" t="s">
        <v>238</v>
      </c>
      <c r="AC919" t="s">
        <v>238</v>
      </c>
      <c r="AD919" s="2" t="s">
        <v>238</v>
      </c>
      <c r="AE919" s="2" t="s">
        <v>254</v>
      </c>
      <c r="AF919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9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9" s="2" t="str">
        <f>SUBSTITUTE(SUBSTITUTE(PROPERTIES[[#This Row],[PURCHASECOST_VALUE]], "PURCHASECOST_", ""), "_VALUE", "")</f>
        <v>COACH</v>
      </c>
      <c r="AI919" s="7" t="str" cm="1">
        <f t="array" ref="AI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9" s="43" t="b">
        <v>0</v>
      </c>
      <c r="AK919" s="8" t="b">
        <v>0</v>
      </c>
      <c r="BA919" s="7"/>
      <c r="BB919" s="8"/>
      <c r="BC919" s="9"/>
      <c r="BD919"/>
    </row>
    <row r="920" spans="1:56">
      <c r="A920" s="2" t="s">
        <v>1913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5" t="str">
        <f>_xlfn.XLOOKUP(PROPERTIES[[#This Row],[VEHIDCODE]],CONTROL[VEHIDCODE],CONTROL[ENGLISH])</f>
        <v>Tangara V-Set Hybrid Coach Concept</v>
      </c>
      <c r="G920" s="45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8">
        <v>46</v>
      </c>
      <c r="R920">
        <v>0</v>
      </c>
      <c r="S920">
        <v>115</v>
      </c>
      <c r="T920" s="25">
        <v>0</v>
      </c>
      <c r="U920" s="25">
        <f>IFERROR(PROPERTIES[[#This Row],[TE_STARTING_KN]]/(PROPERTIES[[#This Row],[WEIGHT]]*9.81),0)</f>
        <v>0</v>
      </c>
      <c r="V920" s="25">
        <v>0.3</v>
      </c>
      <c r="W920" s="21">
        <f>ROUND(IF(IFERROR(PROPERTIES[[#This Row],[TE_COEFFICIENT_CALC]],0)=0,PROPERTIES[[#This Row],[TE_COEFFICIENT_MANUAL]],PROPERTIES[[#This Row],[TE_COEFFICIENT_CALC]]),3)</f>
        <v>0.3</v>
      </c>
      <c r="X920" s="32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1">
        <v>0</v>
      </c>
      <c r="Z920" s="7">
        <v>0</v>
      </c>
      <c r="AA920" t="s">
        <v>241</v>
      </c>
      <c r="AB920" t="s">
        <v>238</v>
      </c>
      <c r="AC920" t="s">
        <v>238</v>
      </c>
      <c r="AD920" s="2" t="s">
        <v>238</v>
      </c>
      <c r="AE920" s="2" t="s">
        <v>254</v>
      </c>
      <c r="AF920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0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0" s="2" t="str">
        <f>SUBSTITUTE(SUBSTITUTE(PROPERTIES[[#This Row],[PURCHASECOST_VALUE]], "PURCHASECOST_", ""), "_VALUE", "")</f>
        <v>COACH</v>
      </c>
      <c r="AI920" s="7" t="str" cm="1">
        <f t="array" ref="AI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0" s="43" t="b">
        <v>0</v>
      </c>
      <c r="AK920" s="8" t="b">
        <v>0</v>
      </c>
      <c r="BA920" s="7"/>
      <c r="BB920" s="8"/>
      <c r="BC920" s="9"/>
      <c r="BD920"/>
    </row>
    <row r="921" spans="1:56">
      <c r="A921" s="2" t="s">
        <v>1915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5" t="str">
        <f>_xlfn.XLOOKUP(PROPERTIES[[#This Row],[VEHIDCODE]],CONTROL[VEHIDCODE],CONTROL[ENGLISH])</f>
        <v>NZR Silver Star Coach</v>
      </c>
      <c r="G921" s="45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8">
        <v>38</v>
      </c>
      <c r="R921">
        <v>0</v>
      </c>
      <c r="S921">
        <v>115</v>
      </c>
      <c r="T921" s="25">
        <v>0</v>
      </c>
      <c r="U921" s="25">
        <f>IFERROR(PROPERTIES[[#This Row],[TE_STARTING_KN]]/(PROPERTIES[[#This Row],[WEIGHT]]*9.81),0)</f>
        <v>0</v>
      </c>
      <c r="V921" s="25">
        <v>0.3</v>
      </c>
      <c r="W921" s="21">
        <f>ROUND(IF(IFERROR(PROPERTIES[[#This Row],[TE_COEFFICIENT_CALC]],0)=0,PROPERTIES[[#This Row],[TE_COEFFICIENT_MANUAL]],PROPERTIES[[#This Row],[TE_COEFFICIENT_CALC]]),3)</f>
        <v>0.3</v>
      </c>
      <c r="X921" s="32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1">
        <v>0</v>
      </c>
      <c r="Z921" s="7">
        <v>0</v>
      </c>
      <c r="AA921" t="s">
        <v>241</v>
      </c>
      <c r="AB921" t="s">
        <v>238</v>
      </c>
      <c r="AC921" t="s">
        <v>238</v>
      </c>
      <c r="AD921" s="2" t="s">
        <v>238</v>
      </c>
      <c r="AE921" s="2" t="s">
        <v>253</v>
      </c>
      <c r="AF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1" s="2" t="str">
        <f>SUBSTITUTE(SUBSTITUTE(PROPERTIES[[#This Row],[PURCHASECOST_VALUE]], "PURCHASECOST_", ""), "_VALUE", "")</f>
        <v>COACH</v>
      </c>
      <c r="AI921" s="7" t="str" cm="1">
        <f t="array" ref="AI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1" s="43" t="b">
        <v>0</v>
      </c>
      <c r="AK921" s="8" t="b">
        <v>0</v>
      </c>
      <c r="BA921" s="7"/>
      <c r="BB921" s="8"/>
      <c r="BC921" s="9"/>
      <c r="BD921"/>
    </row>
    <row r="922" spans="1:56">
      <c r="A922" s="2" t="s">
        <v>1917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5" t="str">
        <f>_xlfn.XLOOKUP(PROPERTIES[[#This Row],[VEHIDCODE]],CONTROL[VEHIDCODE],CONTROL[ENGLISH])</f>
        <v>NZR Silver Star Mail Coach</v>
      </c>
      <c r="G922" s="45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8">
        <v>38</v>
      </c>
      <c r="R922">
        <v>0</v>
      </c>
      <c r="S922">
        <v>115</v>
      </c>
      <c r="T922" s="25">
        <v>0</v>
      </c>
      <c r="U922" s="25">
        <f>IFERROR(PROPERTIES[[#This Row],[TE_STARTING_KN]]/(PROPERTIES[[#This Row],[WEIGHT]]*9.81),0)</f>
        <v>0</v>
      </c>
      <c r="V922" s="25">
        <v>0.3</v>
      </c>
      <c r="W922" s="21">
        <f>ROUND(IF(IFERROR(PROPERTIES[[#This Row],[TE_COEFFICIENT_CALC]],0)=0,PROPERTIES[[#This Row],[TE_COEFFICIENT_MANUAL]],PROPERTIES[[#This Row],[TE_COEFFICIENT_CALC]]),3)</f>
        <v>0.3</v>
      </c>
      <c r="X922" s="32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1">
        <v>0</v>
      </c>
      <c r="Z922" s="7">
        <v>0</v>
      </c>
      <c r="AA922" t="s">
        <v>241</v>
      </c>
      <c r="AB922" t="s">
        <v>238</v>
      </c>
      <c r="AC922" t="s">
        <v>238</v>
      </c>
      <c r="AD922" s="2" t="s">
        <v>238</v>
      </c>
      <c r="AE922" s="2" t="s">
        <v>253</v>
      </c>
      <c r="AF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2" s="2" t="str">
        <f>SUBSTITUTE(SUBSTITUTE(PROPERTIES[[#This Row],[PURCHASECOST_VALUE]], "PURCHASECOST_", ""), "_VALUE", "")</f>
        <v>COACH</v>
      </c>
      <c r="AI922" s="7" t="str" cm="1">
        <f t="array" ref="AI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2" s="43" t="b">
        <v>0</v>
      </c>
      <c r="AK922" s="8" t="b">
        <v>0</v>
      </c>
      <c r="BA922" s="7"/>
      <c r="BB922" s="8"/>
      <c r="BC922" s="9"/>
      <c r="BD922"/>
    </row>
    <row r="923" spans="1:56">
      <c r="A923" s="2" t="s">
        <v>1919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5" t="str">
        <f>_xlfn.XLOOKUP(PROPERTIES[[#This Row],[VEHIDCODE]],CONTROL[VEHIDCODE],CONTROL[ENGLISH])</f>
        <v>Comeng High Speed Coach</v>
      </c>
      <c r="G923" s="45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8">
        <v>35</v>
      </c>
      <c r="R923">
        <v>0</v>
      </c>
      <c r="S923">
        <v>160</v>
      </c>
      <c r="T923" s="25">
        <v>0</v>
      </c>
      <c r="U923" s="25">
        <f>IFERROR(PROPERTIES[[#This Row],[TE_STARTING_KN]]/(PROPERTIES[[#This Row],[WEIGHT]]*9.81),0)</f>
        <v>0</v>
      </c>
      <c r="V923" s="25">
        <v>0.3</v>
      </c>
      <c r="W923" s="21">
        <f>ROUND(IF(IFERROR(PROPERTIES[[#This Row],[TE_COEFFICIENT_CALC]],0)=0,PROPERTIES[[#This Row],[TE_COEFFICIENT_MANUAL]],PROPERTIES[[#This Row],[TE_COEFFICIENT_CALC]]),3)</f>
        <v>0.3</v>
      </c>
      <c r="X923" s="32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1">
        <v>0</v>
      </c>
      <c r="Z923" s="7">
        <v>0</v>
      </c>
      <c r="AA923" t="s">
        <v>241</v>
      </c>
      <c r="AB923" t="s">
        <v>238</v>
      </c>
      <c r="AC923" t="s">
        <v>238</v>
      </c>
      <c r="AD923" s="2" t="s">
        <v>238</v>
      </c>
      <c r="AE923" s="2" t="s">
        <v>253</v>
      </c>
      <c r="AF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3" s="2" t="str">
        <f>SUBSTITUTE(SUBSTITUTE(PROPERTIES[[#This Row],[PURCHASECOST_VALUE]], "PURCHASECOST_", ""), "_VALUE", "")</f>
        <v>COACH</v>
      </c>
      <c r="AI923" s="7" t="str" cm="1">
        <f t="array" ref="AI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23" s="43" t="b">
        <v>0</v>
      </c>
      <c r="AK923" s="8" t="b">
        <v>0</v>
      </c>
      <c r="BA923" s="7"/>
      <c r="BB923" s="8"/>
      <c r="BC923" s="9"/>
      <c r="BD923"/>
    </row>
    <row r="924" spans="1:56">
      <c r="A924" s="2" t="s">
        <v>1920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5" t="str">
        <f>_xlfn.XLOOKUP(PROPERTIES[[#This Row],[VEHIDCODE]],CONTROL[VEHIDCODE],CONTROL[ENGLISH])</f>
        <v>Comeng High Speed Mail Coach</v>
      </c>
      <c r="G924" s="45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8">
        <v>35</v>
      </c>
      <c r="R924">
        <v>0</v>
      </c>
      <c r="S924">
        <v>160</v>
      </c>
      <c r="T924" s="25">
        <v>0</v>
      </c>
      <c r="U924" s="25">
        <f>IFERROR(PROPERTIES[[#This Row],[TE_STARTING_KN]]/(PROPERTIES[[#This Row],[WEIGHT]]*9.81),0)</f>
        <v>0</v>
      </c>
      <c r="V924" s="25">
        <v>0.3</v>
      </c>
      <c r="W924" s="21">
        <f>ROUND(IF(IFERROR(PROPERTIES[[#This Row],[TE_COEFFICIENT_CALC]],0)=0,PROPERTIES[[#This Row],[TE_COEFFICIENT_MANUAL]],PROPERTIES[[#This Row],[TE_COEFFICIENT_CALC]]),3)</f>
        <v>0.3</v>
      </c>
      <c r="X924" s="32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1">
        <v>0</v>
      </c>
      <c r="Z924" s="7">
        <v>0</v>
      </c>
      <c r="AA924" t="s">
        <v>241</v>
      </c>
      <c r="AB924" t="s">
        <v>238</v>
      </c>
      <c r="AC924" t="s">
        <v>238</v>
      </c>
      <c r="AD924" s="2" t="s">
        <v>238</v>
      </c>
      <c r="AE924" s="2" t="s">
        <v>253</v>
      </c>
      <c r="AF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4" s="2" t="str">
        <f>SUBSTITUTE(SUBSTITUTE(PROPERTIES[[#This Row],[PURCHASECOST_VALUE]], "PURCHASECOST_", ""), "_VALUE", "")</f>
        <v>COACH</v>
      </c>
      <c r="AI924" s="7" t="str" cm="1">
        <f t="array" ref="AI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4" s="43" t="b">
        <v>0</v>
      </c>
      <c r="AK924" s="8" t="b">
        <v>0</v>
      </c>
      <c r="BA924" s="7"/>
      <c r="BB924" s="8"/>
      <c r="BC924" s="9"/>
      <c r="BD924"/>
    </row>
    <row r="925" spans="1:56">
      <c r="A925" s="2" t="s">
        <v>1924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5" t="str">
        <f>_xlfn.XLOOKUP(PROPERTIES[[#This Row],[VEHIDCODE]],CONTROL[VEHIDCODE],CONTROL[ENGLISH])</f>
        <v>Comeng-M&amp;K H-Type Suburban Coach</v>
      </c>
      <c r="G925" s="45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8">
        <v>33</v>
      </c>
      <c r="R925">
        <v>0</v>
      </c>
      <c r="S925">
        <v>115</v>
      </c>
      <c r="T925" s="25">
        <v>0</v>
      </c>
      <c r="U925" s="25">
        <f>IFERROR(PROPERTIES[[#This Row],[TE_STARTING_KN]]/(PROPERTIES[[#This Row],[WEIGHT]]*9.81),0)</f>
        <v>0</v>
      </c>
      <c r="V925" s="25">
        <v>0.3</v>
      </c>
      <c r="W925" s="21">
        <f>ROUND(IF(IFERROR(PROPERTIES[[#This Row],[TE_COEFFICIENT_CALC]],0)=0,PROPERTIES[[#This Row],[TE_COEFFICIENT_MANUAL]],PROPERTIES[[#This Row],[TE_COEFFICIENT_CALC]]),3)</f>
        <v>0.3</v>
      </c>
      <c r="X925" s="32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1">
        <v>0</v>
      </c>
      <c r="Z925" s="7">
        <v>0</v>
      </c>
      <c r="AA925" t="s">
        <v>241</v>
      </c>
      <c r="AB925" t="s">
        <v>238</v>
      </c>
      <c r="AC925" t="s">
        <v>238</v>
      </c>
      <c r="AD925" s="2" t="s">
        <v>238</v>
      </c>
      <c r="AE925" s="2" t="s">
        <v>253</v>
      </c>
      <c r="AF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5" s="2" t="str">
        <f>SUBSTITUTE(SUBSTITUTE(PROPERTIES[[#This Row],[PURCHASECOST_VALUE]], "PURCHASECOST_", ""), "_VALUE", "")</f>
        <v>COACH</v>
      </c>
      <c r="AI925" s="7" t="str" cm="1">
        <f t="array" ref="AI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5" s="43" t="b">
        <v>0</v>
      </c>
      <c r="AK925" s="8" t="b">
        <v>0</v>
      </c>
      <c r="BA925" s="7"/>
      <c r="BB925" s="8"/>
      <c r="BC925" s="9"/>
      <c r="BD925"/>
    </row>
    <row r="926" spans="1:56">
      <c r="A926" s="2" t="s">
        <v>1926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5" t="str">
        <f>_xlfn.XLOOKUP(PROPERTIES[[#This Row],[VEHIDCODE]],CONTROL[VEHIDCODE],CONTROL[ENGLISH])</f>
        <v>NSWGR 'Tulloch' RUB Coach</v>
      </c>
      <c r="G926" s="45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8">
        <v>35</v>
      </c>
      <c r="R926">
        <v>0</v>
      </c>
      <c r="S926">
        <v>115</v>
      </c>
      <c r="T926" s="25">
        <v>0</v>
      </c>
      <c r="U926" s="25">
        <f>IFERROR(PROPERTIES[[#This Row],[TE_STARTING_KN]]/(PROPERTIES[[#This Row],[WEIGHT]]*9.81),0)</f>
        <v>0</v>
      </c>
      <c r="V926" s="25">
        <v>0.3</v>
      </c>
      <c r="W926" s="21">
        <f>ROUND(IF(IFERROR(PROPERTIES[[#This Row],[TE_COEFFICIENT_CALC]],0)=0,PROPERTIES[[#This Row],[TE_COEFFICIENT_MANUAL]],PROPERTIES[[#This Row],[TE_COEFFICIENT_CALC]]),3)</f>
        <v>0.3</v>
      </c>
      <c r="X926" s="32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1">
        <v>0</v>
      </c>
      <c r="Z926" s="7">
        <v>0</v>
      </c>
      <c r="AA926" t="s">
        <v>241</v>
      </c>
      <c r="AB926" t="s">
        <v>238</v>
      </c>
      <c r="AC926" t="s">
        <v>238</v>
      </c>
      <c r="AD926" s="2" t="s">
        <v>238</v>
      </c>
      <c r="AE926" s="2" t="s">
        <v>253</v>
      </c>
      <c r="AF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6" s="2" t="str">
        <f>SUBSTITUTE(SUBSTITUTE(PROPERTIES[[#This Row],[PURCHASECOST_VALUE]], "PURCHASECOST_", ""), "_VALUE", "")</f>
        <v>COACH</v>
      </c>
      <c r="AI926" s="7" t="str" cm="1">
        <f t="array" ref="AI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6" s="43" t="b">
        <v>0</v>
      </c>
      <c r="AK926" s="8" t="b">
        <v>0</v>
      </c>
      <c r="BA926" s="7"/>
      <c r="BB926" s="8"/>
      <c r="BC926" s="9"/>
      <c r="BD926"/>
    </row>
    <row r="927" spans="1:56">
      <c r="A927" s="2" t="s">
        <v>1927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5" t="str">
        <f>_xlfn.XLOOKUP(PROPERTIES[[#This Row],[VEHIDCODE]],CONTROL[VEHIDCODE],CONTROL[ENGLISH])</f>
        <v>NSWGR 'Tulloch' RUB Mail Coach</v>
      </c>
      <c r="G927" s="45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8">
        <v>35</v>
      </c>
      <c r="R927">
        <v>0</v>
      </c>
      <c r="S927">
        <v>115</v>
      </c>
      <c r="T927" s="25">
        <v>0</v>
      </c>
      <c r="U927" s="25">
        <f>IFERROR(PROPERTIES[[#This Row],[TE_STARTING_KN]]/(PROPERTIES[[#This Row],[WEIGHT]]*9.81),0)</f>
        <v>0</v>
      </c>
      <c r="V927" s="25">
        <v>0.3</v>
      </c>
      <c r="W927" s="21">
        <f>ROUND(IF(IFERROR(PROPERTIES[[#This Row],[TE_COEFFICIENT_CALC]],0)=0,PROPERTIES[[#This Row],[TE_COEFFICIENT_MANUAL]],PROPERTIES[[#This Row],[TE_COEFFICIENT_CALC]]),3)</f>
        <v>0.3</v>
      </c>
      <c r="X927" s="32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1">
        <v>0</v>
      </c>
      <c r="Z927" s="7">
        <v>0</v>
      </c>
      <c r="AA927" t="s">
        <v>241</v>
      </c>
      <c r="AB927" t="s">
        <v>238</v>
      </c>
      <c r="AC927" t="s">
        <v>238</v>
      </c>
      <c r="AD927" s="2" t="s">
        <v>238</v>
      </c>
      <c r="AE927" s="2" t="s">
        <v>253</v>
      </c>
      <c r="AF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7" s="2" t="str">
        <f>SUBSTITUTE(SUBSTITUTE(PROPERTIES[[#This Row],[PURCHASECOST_VALUE]], "PURCHASECOST_", ""), "_VALUE", "")</f>
        <v>COACH</v>
      </c>
      <c r="AI927" s="7" t="str" cm="1">
        <f t="array" ref="AI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7" s="43" t="b">
        <v>0</v>
      </c>
      <c r="AK927" s="8" t="b">
        <v>0</v>
      </c>
      <c r="BA927" s="7"/>
      <c r="BB927" s="8"/>
      <c r="BC927" s="9"/>
      <c r="BD927"/>
    </row>
    <row r="928" spans="1:56">
      <c r="A928" s="2" t="s">
        <v>1929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5" t="str">
        <f>_xlfn.XLOOKUP(PROPERTIES[[#This Row],[VEHIDCODE]],CONTROL[VEHIDCODE],CONTROL[ENGLISH])</f>
        <v>WAGR AY Suburban Coaches</v>
      </c>
      <c r="G928" s="45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8">
        <v>26</v>
      </c>
      <c r="R928">
        <v>0</v>
      </c>
      <c r="S928">
        <v>80</v>
      </c>
      <c r="T928" s="25">
        <v>0</v>
      </c>
      <c r="U928" s="25">
        <f>IFERROR(PROPERTIES[[#This Row],[TE_STARTING_KN]]/(PROPERTIES[[#This Row],[WEIGHT]]*9.81),0)</f>
        <v>0</v>
      </c>
      <c r="V928" s="25">
        <v>0.3</v>
      </c>
      <c r="W928" s="21">
        <f>ROUND(IF(IFERROR(PROPERTIES[[#This Row],[TE_COEFFICIENT_CALC]],0)=0,PROPERTIES[[#This Row],[TE_COEFFICIENT_MANUAL]],PROPERTIES[[#This Row],[TE_COEFFICIENT_CALC]]),3)</f>
        <v>0.3</v>
      </c>
      <c r="X928" s="32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1">
        <v>0</v>
      </c>
      <c r="Z928" s="7">
        <v>0</v>
      </c>
      <c r="AA928" t="s">
        <v>241</v>
      </c>
      <c r="AB928" t="s">
        <v>238</v>
      </c>
      <c r="AC928" t="s">
        <v>238</v>
      </c>
      <c r="AD928" s="2" t="s">
        <v>238</v>
      </c>
      <c r="AE928" s="2" t="s">
        <v>253</v>
      </c>
      <c r="AF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8" s="2" t="str">
        <f>SUBSTITUTE(SUBSTITUTE(PROPERTIES[[#This Row],[PURCHASECOST_VALUE]], "PURCHASECOST_", ""), "_VALUE", "")</f>
        <v>COACH</v>
      </c>
      <c r="AI928" s="7" t="str" cm="1">
        <f t="array" ref="AI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8" s="43" t="b">
        <v>0</v>
      </c>
      <c r="AK928" s="8" t="b">
        <v>0</v>
      </c>
      <c r="BA928" s="7"/>
      <c r="BB928" s="8"/>
      <c r="BC928" s="9"/>
      <c r="BD928"/>
    </row>
    <row r="929" spans="1:56">
      <c r="A929" s="2" t="s">
        <v>1931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5" t="str">
        <f>_xlfn.XLOOKUP(PROPERTIES[[#This Row],[VEHIDCODE]],CONTROL[VEHIDCODE],CONTROL[ENGLISH])</f>
        <v>NZR 56ft Coach</v>
      </c>
      <c r="G929" s="45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8">
        <v>24</v>
      </c>
      <c r="R929">
        <v>0</v>
      </c>
      <c r="S929">
        <v>80</v>
      </c>
      <c r="T929" s="25">
        <v>0</v>
      </c>
      <c r="U929" s="25">
        <f>IFERROR(PROPERTIES[[#This Row],[TE_STARTING_KN]]/(PROPERTIES[[#This Row],[WEIGHT]]*9.81),0)</f>
        <v>0</v>
      </c>
      <c r="V929" s="25">
        <v>0.3</v>
      </c>
      <c r="W929" s="21">
        <f>ROUND(IF(IFERROR(PROPERTIES[[#This Row],[TE_COEFFICIENT_CALC]],0)=0,PROPERTIES[[#This Row],[TE_COEFFICIENT_MANUAL]],PROPERTIES[[#This Row],[TE_COEFFICIENT_CALC]]),3)</f>
        <v>0.3</v>
      </c>
      <c r="X929" s="32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1">
        <v>0</v>
      </c>
      <c r="Z929" s="7">
        <v>0</v>
      </c>
      <c r="AA929" t="s">
        <v>241</v>
      </c>
      <c r="AB929" t="s">
        <v>238</v>
      </c>
      <c r="AC929" t="s">
        <v>238</v>
      </c>
      <c r="AD929" s="2" t="s">
        <v>238</v>
      </c>
      <c r="AE929" s="2" t="s">
        <v>253</v>
      </c>
      <c r="AF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9" s="2" t="str">
        <f>SUBSTITUTE(SUBSTITUTE(PROPERTIES[[#This Row],[PURCHASECOST_VALUE]], "PURCHASECOST_", ""), "_VALUE", "")</f>
        <v>COACH</v>
      </c>
      <c r="AI929" s="7" t="str" cm="1">
        <f t="array" ref="AI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9" s="43" t="b">
        <v>0</v>
      </c>
      <c r="AK929" s="8" t="b">
        <v>0</v>
      </c>
      <c r="BA929" s="7"/>
      <c r="BB929" s="8"/>
      <c r="BC929" s="9"/>
      <c r="BD929"/>
    </row>
    <row r="930" spans="1:56">
      <c r="A930" s="2" t="s">
        <v>1932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5" t="str">
        <f>_xlfn.XLOOKUP(PROPERTIES[[#This Row],[VEHIDCODE]],CONTROL[VEHIDCODE],CONTROL[ENGLISH])</f>
        <v>NZR 56ft Mail Coach</v>
      </c>
      <c r="G930" s="45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8">
        <v>24</v>
      </c>
      <c r="R930">
        <v>0</v>
      </c>
      <c r="S930">
        <v>80</v>
      </c>
      <c r="T930" s="25">
        <v>0</v>
      </c>
      <c r="U930" s="25">
        <f>IFERROR(PROPERTIES[[#This Row],[TE_STARTING_KN]]/(PROPERTIES[[#This Row],[WEIGHT]]*9.81),0)</f>
        <v>0</v>
      </c>
      <c r="V930" s="25">
        <v>0.3</v>
      </c>
      <c r="W930" s="21">
        <f>ROUND(IF(IFERROR(PROPERTIES[[#This Row],[TE_COEFFICIENT_CALC]],0)=0,PROPERTIES[[#This Row],[TE_COEFFICIENT_MANUAL]],PROPERTIES[[#This Row],[TE_COEFFICIENT_CALC]]),3)</f>
        <v>0.3</v>
      </c>
      <c r="X930" s="32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1">
        <v>0</v>
      </c>
      <c r="Z930" s="7">
        <v>0</v>
      </c>
      <c r="AA930" t="s">
        <v>241</v>
      </c>
      <c r="AB930" t="s">
        <v>238</v>
      </c>
      <c r="AC930" t="s">
        <v>238</v>
      </c>
      <c r="AD930" s="2" t="s">
        <v>238</v>
      </c>
      <c r="AE930" s="2" t="s">
        <v>253</v>
      </c>
      <c r="AF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0" s="2" t="str">
        <f>SUBSTITUTE(SUBSTITUTE(PROPERTIES[[#This Row],[PURCHASECOST_VALUE]], "PURCHASECOST_", ""), "_VALUE", "")</f>
        <v>COACH</v>
      </c>
      <c r="AI930" s="7" t="str" cm="1">
        <f t="array" ref="AI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0" s="43" t="b">
        <v>0</v>
      </c>
      <c r="AK930" s="8" t="b">
        <v>0</v>
      </c>
      <c r="BA930" s="7"/>
      <c r="BB930" s="8"/>
      <c r="BC930" s="9"/>
      <c r="BD930"/>
    </row>
    <row r="931" spans="1:56">
      <c r="A931" s="2" t="s">
        <v>1940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5" t="str">
        <f>_xlfn.XLOOKUP(PROPERTIES[[#This Row],[VEHIDCODE]],CONTROL[VEHIDCODE],CONTROL[ENGLISH])</f>
        <v>NZR 50ft Coach</v>
      </c>
      <c r="G931" s="45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8">
        <v>22</v>
      </c>
      <c r="R931">
        <v>0</v>
      </c>
      <c r="S931">
        <v>80</v>
      </c>
      <c r="T931" s="25">
        <v>0</v>
      </c>
      <c r="U931" s="25">
        <f>IFERROR(PROPERTIES[[#This Row],[TE_STARTING_KN]]/(PROPERTIES[[#This Row],[WEIGHT]]*9.81),0)</f>
        <v>0</v>
      </c>
      <c r="V931" s="25">
        <v>0.3</v>
      </c>
      <c r="W931" s="21">
        <f>ROUND(IF(IFERROR(PROPERTIES[[#This Row],[TE_COEFFICIENT_CALC]],0)=0,PROPERTIES[[#This Row],[TE_COEFFICIENT_MANUAL]],PROPERTIES[[#This Row],[TE_COEFFICIENT_CALC]]),3)</f>
        <v>0.3</v>
      </c>
      <c r="X931" s="32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1">
        <v>0</v>
      </c>
      <c r="Z931" s="7">
        <v>0</v>
      </c>
      <c r="AA931" t="s">
        <v>241</v>
      </c>
      <c r="AB931" t="s">
        <v>238</v>
      </c>
      <c r="AC931" t="s">
        <v>238</v>
      </c>
      <c r="AD931" s="2" t="s">
        <v>238</v>
      </c>
      <c r="AE931" s="2" t="s">
        <v>253</v>
      </c>
      <c r="AF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1" s="2" t="str">
        <f>SUBSTITUTE(SUBSTITUTE(PROPERTIES[[#This Row],[PURCHASECOST_VALUE]], "PURCHASECOST_", ""), "_VALUE", "")</f>
        <v>COACH</v>
      </c>
      <c r="AI931" s="7" t="str" cm="1">
        <f t="array" ref="AI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1" s="43" t="b">
        <v>0</v>
      </c>
      <c r="AK931" s="8" t="b">
        <v>0</v>
      </c>
      <c r="BA931" s="7"/>
      <c r="BB931" s="8"/>
      <c r="BC931" s="9"/>
      <c r="BD931"/>
    </row>
    <row r="932" spans="1:56">
      <c r="A932" s="2" t="s">
        <v>1941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5" t="str">
        <f>_xlfn.XLOOKUP(PROPERTIES[[#This Row],[VEHIDCODE]],CONTROL[VEHIDCODE],CONTROL[ENGLISH])</f>
        <v>NZR 50ft Mail Coach</v>
      </c>
      <c r="G932" s="45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8">
        <v>22</v>
      </c>
      <c r="R932">
        <v>0</v>
      </c>
      <c r="S932">
        <v>80</v>
      </c>
      <c r="T932" s="25">
        <v>0</v>
      </c>
      <c r="U932" s="25">
        <f>IFERROR(PROPERTIES[[#This Row],[TE_STARTING_KN]]/(PROPERTIES[[#This Row],[WEIGHT]]*9.81),0)</f>
        <v>0</v>
      </c>
      <c r="V932" s="25">
        <v>0.3</v>
      </c>
      <c r="W932" s="21">
        <f>ROUND(IF(IFERROR(PROPERTIES[[#This Row],[TE_COEFFICIENT_CALC]],0)=0,PROPERTIES[[#This Row],[TE_COEFFICIENT_MANUAL]],PROPERTIES[[#This Row],[TE_COEFFICIENT_CALC]]),3)</f>
        <v>0.3</v>
      </c>
      <c r="X932" s="32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1">
        <v>0</v>
      </c>
      <c r="Z932" s="7">
        <v>0</v>
      </c>
      <c r="AA932" t="s">
        <v>241</v>
      </c>
      <c r="AB932" t="s">
        <v>238</v>
      </c>
      <c r="AC932" t="s">
        <v>238</v>
      </c>
      <c r="AD932" s="2" t="s">
        <v>238</v>
      </c>
      <c r="AE932" s="2" t="s">
        <v>253</v>
      </c>
      <c r="AF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2" s="2" t="str">
        <f>SUBSTITUTE(SUBSTITUTE(PROPERTIES[[#This Row],[PURCHASECOST_VALUE]], "PURCHASECOST_", ""), "_VALUE", "")</f>
        <v>COACH</v>
      </c>
      <c r="AI932" s="7" t="str" cm="1">
        <f t="array" ref="AI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2" s="43" t="b">
        <v>0</v>
      </c>
      <c r="AK932" s="8" t="b">
        <v>0</v>
      </c>
      <c r="BA932" s="7"/>
      <c r="BB932" s="8"/>
      <c r="BC932" s="9"/>
      <c r="BD932"/>
    </row>
    <row r="933" spans="1:56">
      <c r="A933" s="2" t="s">
        <v>1943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5" t="str">
        <f>_xlfn.XLOOKUP(PROPERTIES[[#This Row],[VEHIDCODE]],CONTROL[VEHIDCODE],CONTROL[ENGLISH])</f>
        <v>KA Type Tram Car</v>
      </c>
      <c r="G933" s="45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8">
        <v>18</v>
      </c>
      <c r="R933">
        <v>0</v>
      </c>
      <c r="S933">
        <v>60</v>
      </c>
      <c r="T933" s="25">
        <v>0</v>
      </c>
      <c r="U933" s="25">
        <f>IFERROR(PROPERTIES[[#This Row],[TE_STARTING_KN]]/(PROPERTIES[[#This Row],[WEIGHT]]*9.81),0)</f>
        <v>0</v>
      </c>
      <c r="V933" s="25">
        <v>0.3</v>
      </c>
      <c r="W933" s="21">
        <f>ROUND(IF(IFERROR(PROPERTIES[[#This Row],[TE_COEFFICIENT_CALC]],0)=0,PROPERTIES[[#This Row],[TE_COEFFICIENT_MANUAL]],PROPERTIES[[#This Row],[TE_COEFFICIENT_CALC]]),3)</f>
        <v>0.3</v>
      </c>
      <c r="X933" s="32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1">
        <v>0</v>
      </c>
      <c r="Z933" s="7">
        <v>0</v>
      </c>
      <c r="AA933" t="s">
        <v>241</v>
      </c>
      <c r="AB933" t="s">
        <v>238</v>
      </c>
      <c r="AC933" t="s">
        <v>238</v>
      </c>
      <c r="AD933" s="2" t="s">
        <v>238</v>
      </c>
      <c r="AE933" s="2" t="s">
        <v>253</v>
      </c>
      <c r="AF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3" s="2" t="str">
        <f>SUBSTITUTE(SUBSTITUTE(PROPERTIES[[#This Row],[PURCHASECOST_VALUE]], "PURCHASECOST_", ""), "_VALUE", "")</f>
        <v>COACH</v>
      </c>
      <c r="AI933" s="7" t="str" cm="1">
        <f t="array" ref="AI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3" s="43" t="b">
        <v>0</v>
      </c>
      <c r="AK933" s="8" t="b">
        <v>0</v>
      </c>
      <c r="BA933" s="7"/>
      <c r="BB933" s="8"/>
      <c r="BC933" s="9"/>
      <c r="BD933"/>
    </row>
    <row r="934" spans="1:56">
      <c r="A934" s="2" t="s">
        <v>3448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5" t="str">
        <f>_xlfn.XLOOKUP(PROPERTIES[[#This Row],[VEHIDCODE]],CONTROL[VEHIDCODE],CONTROL[ENGLISH])</f>
        <v>Comeng 86 Class</v>
      </c>
      <c r="F934" t="s">
        <v>580</v>
      </c>
      <c r="G934" s="45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8">
        <v>119</v>
      </c>
      <c r="R934">
        <v>3860</v>
      </c>
      <c r="S934">
        <v>130</v>
      </c>
      <c r="T934" s="25">
        <f>222*1.3</f>
        <v>288.60000000000002</v>
      </c>
      <c r="U934" s="25">
        <f>IFERROR(PROPERTIES[[#This Row],[TE_STARTING_KN]]/(PROPERTIES[[#This Row],[WEIGHT]]*9.81),0)</f>
        <v>0.24721815331637242</v>
      </c>
      <c r="V934" s="25">
        <v>0</v>
      </c>
      <c r="W934" s="21">
        <f>ROUND(IF(IFERROR(PROPERTIES[[#This Row],[TE_COEFFICIENT_CALC]],0)=0,PROPERTIES[[#This Row],[TE_COEFFICIENT_MANUAL]],PROPERTIES[[#This Row],[TE_COEFFICIENT_CALC]]),3)</f>
        <v>0.247</v>
      </c>
      <c r="X934" s="32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1">
        <v>0</v>
      </c>
      <c r="Z934" s="7">
        <v>0</v>
      </c>
      <c r="AA934" t="s">
        <v>241</v>
      </c>
      <c r="AB934" t="s">
        <v>238</v>
      </c>
      <c r="AC934" t="s">
        <v>238</v>
      </c>
      <c r="AD934" s="2" t="s">
        <v>238</v>
      </c>
      <c r="AE934" s="2" t="s">
        <v>253</v>
      </c>
      <c r="AF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34" s="2" t="str">
        <f>SUBSTITUTE(SUBSTITUTE(PROPERTIES[[#This Row],[PURCHASECOST_VALUE]], "PURCHASECOST_", ""), "_VALUE", "")</f>
        <v>ELECTRICENGINE</v>
      </c>
      <c r="AI934" s="7" t="str" cm="1">
        <f t="array" ref="AI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34" s="43" t="b">
        <v>0</v>
      </c>
      <c r="AK934" s="8" t="b">
        <v>0</v>
      </c>
      <c r="BA934" s="7"/>
      <c r="BB934" s="8"/>
      <c r="BC934" s="9"/>
      <c r="BD934"/>
    </row>
    <row r="935" spans="1:56">
      <c r="A935" s="2" t="s">
        <v>3320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5" t="str">
        <f>_xlfn.XLOOKUP(PROPERTIES[[#This Row],[VEHIDCODE]],CONTROL[VEHIDCODE],CONTROL[ENGLISH])</f>
        <v>Ganz-MAVAG EM/ET</v>
      </c>
      <c r="F935" t="s">
        <v>736</v>
      </c>
      <c r="G935" s="45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8">
        <v>37.6</v>
      </c>
      <c r="R935">
        <v>540</v>
      </c>
      <c r="S935">
        <v>110</v>
      </c>
      <c r="T935" s="25">
        <v>0</v>
      </c>
      <c r="U935" s="25">
        <f>IFERROR(PROPERTIES[[#This Row],[TE_STARTING_KN]]/(PROPERTIES[[#This Row],[WEIGHT]]*9.81),0)</f>
        <v>0</v>
      </c>
      <c r="V935" s="25">
        <v>0.25</v>
      </c>
      <c r="W935" s="21">
        <f>ROUND(IF(IFERROR(PROPERTIES[[#This Row],[TE_COEFFICIENT_CALC]],0)=0,PROPERTIES[[#This Row],[TE_COEFFICIENT_MANUAL]],PROPERTIES[[#This Row],[TE_COEFFICIENT_CALC]]),3)</f>
        <v>0.25</v>
      </c>
      <c r="X935" s="32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1">
        <v>113</v>
      </c>
      <c r="Z935" s="7">
        <v>8</v>
      </c>
      <c r="AA935" t="s">
        <v>241</v>
      </c>
      <c r="AB935" t="s">
        <v>238</v>
      </c>
      <c r="AC935" t="s">
        <v>238</v>
      </c>
      <c r="AD935" s="2" t="s">
        <v>238</v>
      </c>
      <c r="AE935" s="2" t="s">
        <v>253</v>
      </c>
      <c r="AF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5" s="2" t="str">
        <f>SUBSTITUTE(SUBSTITUTE(PROPERTIES[[#This Row],[PURCHASECOST_VALUE]], "PURCHASECOST_", ""), "_VALUE", "")</f>
        <v>EMU</v>
      </c>
      <c r="AI935" s="7" t="str" cm="1">
        <f t="array" ref="AI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5" s="43" t="b">
        <v>0</v>
      </c>
      <c r="AK935" s="8" t="b">
        <v>0</v>
      </c>
      <c r="BA935" s="7"/>
      <c r="BB935" s="8"/>
      <c r="BC935" s="9"/>
      <c r="BD935"/>
    </row>
    <row r="936" spans="1:56">
      <c r="A936" s="2" t="s">
        <v>3449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5" t="str">
        <f>_xlfn.XLOOKUP(PROPERTIES[[#This Row],[VEHIDCODE]],CONTROL[VEHIDCODE],CONTROL[ENGLISH])</f>
        <v>EEC DM EMU</v>
      </c>
      <c r="F936" t="s">
        <v>736</v>
      </c>
      <c r="G936" s="45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8">
        <v>43.5</v>
      </c>
      <c r="R936">
        <v>599</v>
      </c>
      <c r="S936">
        <v>97</v>
      </c>
      <c r="T936" s="25">
        <v>0</v>
      </c>
      <c r="U936" s="25">
        <f>IFERROR(PROPERTIES[[#This Row],[TE_STARTING_KN]]/(PROPERTIES[[#This Row],[WEIGHT]]*9.81),0)</f>
        <v>0</v>
      </c>
      <c r="V936" s="25">
        <v>0.25</v>
      </c>
      <c r="W936" s="21">
        <f>ROUND(IF(IFERROR(PROPERTIES[[#This Row],[TE_COEFFICIENT_CALC]],0)=0,PROPERTIES[[#This Row],[TE_COEFFICIENT_MANUAL]],PROPERTIES[[#This Row],[TE_COEFFICIENT_CALC]]),3)</f>
        <v>0.25</v>
      </c>
      <c r="X936" s="32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1">
        <v>62</v>
      </c>
      <c r="Z936" s="7">
        <v>8</v>
      </c>
      <c r="AA936" t="s">
        <v>241</v>
      </c>
      <c r="AB936" t="s">
        <v>238</v>
      </c>
      <c r="AC936" t="s">
        <v>238</v>
      </c>
      <c r="AD936" s="2" t="s">
        <v>238</v>
      </c>
      <c r="AE936" s="2" t="s">
        <v>253</v>
      </c>
      <c r="AF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6" s="2" t="str">
        <f>SUBSTITUTE(SUBSTITUTE(PROPERTIES[[#This Row],[PURCHASECOST_VALUE]], "PURCHASECOST_", ""), "_VALUE", "")</f>
        <v>EMU</v>
      </c>
      <c r="AI936" s="7" t="str" cm="1">
        <f t="array" ref="AI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36" s="43" t="b">
        <v>0</v>
      </c>
      <c r="AK936" s="8" t="b">
        <v>0</v>
      </c>
      <c r="BA936" s="7"/>
      <c r="BB936" s="8"/>
      <c r="BC936" s="9"/>
      <c r="BD936"/>
    </row>
    <row r="937" spans="1:56">
      <c r="A937" s="2" t="s">
        <v>3450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5" t="str">
        <f>_xlfn.XLOOKUP(PROPERTIES[[#This Row],[VEHIDCODE]],CONTROL[VEHIDCODE],CONTROL[ENGLISH])</f>
        <v>Hyundai Rotem/Mitsui 'Matangi'</v>
      </c>
      <c r="F937" t="s">
        <v>736</v>
      </c>
      <c r="G937" s="45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8">
        <v>38</v>
      </c>
      <c r="R937">
        <v>910</v>
      </c>
      <c r="S937">
        <v>120</v>
      </c>
      <c r="T937" s="25">
        <v>0</v>
      </c>
      <c r="U937" s="25">
        <f>IFERROR(PROPERTIES[[#This Row],[TE_STARTING_KN]]/(PROPERTIES[[#This Row],[WEIGHT]]*9.81),0)</f>
        <v>0</v>
      </c>
      <c r="V937" s="25">
        <v>0.3</v>
      </c>
      <c r="W937" s="21">
        <f>ROUND(IF(IFERROR(PROPERTIES[[#This Row],[TE_COEFFICIENT_CALC]],0)=0,PROPERTIES[[#This Row],[TE_COEFFICIENT_MANUAL]],PROPERTIES[[#This Row],[TE_COEFFICIENT_CALC]]),3)</f>
        <v>0.3</v>
      </c>
      <c r="X937" s="32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1">
        <v>188</v>
      </c>
      <c r="Z937" s="7">
        <v>8</v>
      </c>
      <c r="AA937" t="s">
        <v>241</v>
      </c>
      <c r="AB937" t="s">
        <v>238</v>
      </c>
      <c r="AC937" t="s">
        <v>238</v>
      </c>
      <c r="AD937" s="2" t="s">
        <v>238</v>
      </c>
      <c r="AE937" s="2" t="s">
        <v>253</v>
      </c>
      <c r="AF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7" s="2" t="str">
        <f>SUBSTITUTE(SUBSTITUTE(PROPERTIES[[#This Row],[PURCHASECOST_VALUE]], "PURCHASECOST_", ""), "_VALUE", "")</f>
        <v>EMU</v>
      </c>
      <c r="AI937" s="7" t="str" cm="1">
        <f t="array" ref="AI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7" s="43" t="b">
        <v>0</v>
      </c>
      <c r="AK937" s="8" t="b">
        <v>0</v>
      </c>
      <c r="BA937" s="7"/>
      <c r="BB937" s="8"/>
      <c r="BC937" s="9"/>
      <c r="BD937"/>
    </row>
    <row r="938" spans="1:56">
      <c r="A938" s="2" t="s">
        <v>3451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5" t="str">
        <f>_xlfn.XLOOKUP(PROPERTIES[[#This Row],[VEHIDCODE]],CONTROL[VEHIDCODE],CONTROL[ENGLISH])</f>
        <v>Ganz Hunslet Budapest G2</v>
      </c>
      <c r="F938" t="s">
        <v>665</v>
      </c>
      <c r="G938" s="45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8">
        <v>32.5</v>
      </c>
      <c r="R938">
        <f>250*1.3*8</f>
        <v>2600</v>
      </c>
      <c r="S938">
        <v>90</v>
      </c>
      <c r="T938" s="25">
        <v>0</v>
      </c>
      <c r="U938" s="24">
        <f>IFERROR(PROPERTIES[[#This Row],[TE_STARTING_KN]]/(PROPERTIES[[#This Row],[WEIGHT]]*9.81),0)</f>
        <v>0</v>
      </c>
      <c r="V938" s="24">
        <v>0.25</v>
      </c>
      <c r="W938" s="21">
        <f>ROUND(IF(IFERROR(PROPERTIES[[#This Row],[TE_COEFFICIENT_CALC]],0)=0,PROPERTIES[[#This Row],[TE_COEFFICIENT_MANUAL]],PROPERTIES[[#This Row],[TE_COEFFICIENT_CALC]]),3)</f>
        <v>0.25</v>
      </c>
      <c r="X938" s="9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1">
        <v>150</v>
      </c>
      <c r="Z938" s="7">
        <v>8</v>
      </c>
      <c r="AA938" t="s">
        <v>245</v>
      </c>
      <c r="AB938" t="s">
        <v>238</v>
      </c>
      <c r="AC938" t="s">
        <v>238</v>
      </c>
      <c r="AD938" s="2" t="s">
        <v>238</v>
      </c>
      <c r="AE938" s="2" t="s">
        <v>253</v>
      </c>
      <c r="AF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938" s="2" t="str">
        <f>SUBSTITUTE(SUBSTITUTE(PROPERTIES[[#This Row],[PURCHASECOST_VALUE]], "PURCHASECOST_", ""), "_VALUE", "")</f>
        <v>METRO</v>
      </c>
      <c r="AI938" s="7" t="str" cm="1">
        <f t="array" ref="AI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938" s="43" t="b">
        <v>0</v>
      </c>
      <c r="AK938" s="8" t="b">
        <v>0</v>
      </c>
      <c r="BA938" s="7"/>
      <c r="BB938" s="8"/>
      <c r="BC938" s="9"/>
      <c r="BD938"/>
    </row>
    <row r="939" spans="1:56">
      <c r="A939" s="2" t="s">
        <v>3452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5" t="str">
        <f>_xlfn.XLOOKUP(PROPERTIES[[#This Row],[VEHIDCODE]],CONTROL[VEHIDCODE],CONTROL[ENGLISH])</f>
        <v>BRC&amp;W NSU Class</v>
      </c>
      <c r="F939" t="s">
        <v>580</v>
      </c>
      <c r="G939" s="45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8">
        <v>60</v>
      </c>
      <c r="R939">
        <v>840</v>
      </c>
      <c r="S939">
        <v>80</v>
      </c>
      <c r="T939" s="25">
        <v>0</v>
      </c>
      <c r="U939" s="25">
        <f>IFERROR(PROPERTIES[[#This Row],[TE_STARTING_KN]]/(PROPERTIES[[#This Row],[WEIGHT]]*9.81),0)</f>
        <v>0</v>
      </c>
      <c r="V939" s="25">
        <v>0.3</v>
      </c>
      <c r="W939" s="21">
        <f>ROUND(IF(IFERROR(PROPERTIES[[#This Row],[TE_COEFFICIENT_CALC]],0)=0,PROPERTIES[[#This Row],[TE_COEFFICIENT_MANUAL]],PROPERTIES[[#This Row],[TE_COEFFICIENT_CALC]]),3)</f>
        <v>0.3</v>
      </c>
      <c r="X939" s="32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1">
        <v>0</v>
      </c>
      <c r="Z939" s="7">
        <v>0</v>
      </c>
      <c r="AA939" t="s">
        <v>241</v>
      </c>
      <c r="AB939" t="s">
        <v>238</v>
      </c>
      <c r="AC939" t="s">
        <v>238</v>
      </c>
      <c r="AD939" s="2" t="s">
        <v>238</v>
      </c>
      <c r="AE939" s="2" t="s">
        <v>253</v>
      </c>
      <c r="AF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39" s="2" t="str">
        <f>SUBSTITUTE(SUBSTITUTE(PROPERTIES[[#This Row],[PURCHASECOST_VALUE]], "PURCHASECOST_", ""), "_VALUE", "")</f>
        <v>DIESELENGINE</v>
      </c>
      <c r="AI939" s="7" t="str" cm="1">
        <f t="array" ref="AI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39" s="43" t="b">
        <v>0</v>
      </c>
      <c r="AK939" s="8" t="b">
        <v>0</v>
      </c>
      <c r="BA939" s="7"/>
      <c r="BB939" s="8"/>
      <c r="BC939" s="9"/>
      <c r="BD939"/>
    </row>
    <row r="940" spans="1:56">
      <c r="A940" s="2" t="s">
        <v>3453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5" t="str">
        <f>_xlfn.XLOOKUP(PROPERTIES[[#This Row],[VEHIDCODE]],CONTROL[VEHIDCODE],CONTROL[ENGLISH])</f>
        <v>Itochu/Kinki/Kawasaki SP1900</v>
      </c>
      <c r="F940" t="s">
        <v>660</v>
      </c>
      <c r="G940" s="45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8">
        <v>37</v>
      </c>
      <c r="R940">
        <v>5149</v>
      </c>
      <c r="S940">
        <v>130</v>
      </c>
      <c r="T940" s="25">
        <v>0</v>
      </c>
      <c r="U940" s="25">
        <f>IFERROR(PROPERTIES[[#This Row],[TE_STARTING_KN]]/(PROPERTIES[[#This Row],[WEIGHT]]*9.81),0)</f>
        <v>0</v>
      </c>
      <c r="V940" s="25">
        <v>0.3</v>
      </c>
      <c r="W940" s="21">
        <f>ROUND(IF(IFERROR(PROPERTIES[[#This Row],[TE_COEFFICIENT_CALC]],0)=0,PROPERTIES[[#This Row],[TE_COEFFICIENT_MANUAL]],PROPERTIES[[#This Row],[TE_COEFFICIENT_CALC]]),3)</f>
        <v>0.3</v>
      </c>
      <c r="X940" s="32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1">
        <v>250</v>
      </c>
      <c r="Z940" s="7">
        <v>8</v>
      </c>
      <c r="AA940" t="s">
        <v>247</v>
      </c>
      <c r="AB940" t="s">
        <v>238</v>
      </c>
      <c r="AC940" t="s">
        <v>238</v>
      </c>
      <c r="AD940" s="2" t="s">
        <v>238</v>
      </c>
      <c r="AE940" s="2" t="s">
        <v>253</v>
      </c>
      <c r="AF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40" s="2" t="str">
        <f>SUBSTITUTE(SUBSTITUTE(PROPERTIES[[#This Row],[PURCHASECOST_VALUE]], "PURCHASECOST_", ""), "_VALUE", "")</f>
        <v>EMU</v>
      </c>
      <c r="AI940" s="7" t="str" cm="1">
        <f t="array" ref="AI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40" s="43" t="b">
        <v>0</v>
      </c>
      <c r="AK940" s="8" t="b">
        <v>0</v>
      </c>
      <c r="BA940" s="7"/>
      <c r="BB940" s="8"/>
      <c r="BC940" s="9"/>
      <c r="BD940"/>
    </row>
    <row r="941" spans="1:56">
      <c r="A941" t="s">
        <v>3454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5" t="str">
        <f>_xlfn.XLOOKUP(PROPERTIES[[#This Row],[VEHIDCODE]],CONTROL[VEHIDCODE],CONTROL[ENGLISH])</f>
        <v>Alstom/CRRC Datong HXD2</v>
      </c>
      <c r="F941" t="s">
        <v>614</v>
      </c>
      <c r="G941" s="45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8">
        <v>200</v>
      </c>
      <c r="R941">
        <v>13000</v>
      </c>
      <c r="S941">
        <v>120</v>
      </c>
      <c r="T941" s="25">
        <v>760</v>
      </c>
      <c r="U941" s="24">
        <f>IFERROR(PROPERTIES[[#This Row],[TE_STARTING_KN]]/(PROPERTIES[[#This Row],[WEIGHT]]*9.81),0)</f>
        <v>0.3873598369011213</v>
      </c>
      <c r="V941" s="24">
        <v>0</v>
      </c>
      <c r="W941" s="21">
        <f>ROUND(IF(IFERROR(PROPERTIES[[#This Row],[TE_COEFFICIENT_CALC]],0)=0,PROPERTIES[[#This Row],[TE_COEFFICIENT_MANUAL]],PROPERTIES[[#This Row],[TE_COEFFICIENT_CALC]]),3)</f>
        <v>0.38700000000000001</v>
      </c>
      <c r="X941" s="9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1">
        <v>0</v>
      </c>
      <c r="Z941" s="7">
        <v>0</v>
      </c>
      <c r="AA941" t="s">
        <v>247</v>
      </c>
      <c r="AB941" t="s">
        <v>238</v>
      </c>
      <c r="AC941" t="s">
        <v>238</v>
      </c>
      <c r="AD941" s="2" t="s">
        <v>238</v>
      </c>
      <c r="AE941" s="2" t="s">
        <v>253</v>
      </c>
      <c r="AF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1" s="2" t="str">
        <f>SUBSTITUTE(SUBSTITUTE(PROPERTIES[[#This Row],[PURCHASECOST_VALUE]], "PURCHASECOST_", ""), "_VALUE", "")</f>
        <v>ELECTRICENGINE</v>
      </c>
      <c r="AI941" s="7" t="str" cm="1">
        <f t="array" ref="AI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1" s="43" t="b">
        <v>0</v>
      </c>
      <c r="AK941" s="8" t="b">
        <v>0</v>
      </c>
      <c r="BA941" s="7"/>
      <c r="BB941" s="8"/>
      <c r="BC941" s="9"/>
      <c r="BD941"/>
    </row>
    <row r="942" spans="1:56">
      <c r="A942" t="s">
        <v>3455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5" t="str">
        <f>_xlfn.XLOOKUP(PROPERTIES[[#This Row],[VEHIDCODE]],CONTROL[VEHIDCODE],CONTROL[ENGLISH])</f>
        <v>CRRC Qishuyan DF11</v>
      </c>
      <c r="F942" t="s">
        <v>614</v>
      </c>
      <c r="G942" s="45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8">
        <v>138</v>
      </c>
      <c r="R942">
        <v>4840</v>
      </c>
      <c r="S942">
        <v>170</v>
      </c>
      <c r="T942" s="25">
        <v>245</v>
      </c>
      <c r="U942" s="25">
        <f>IFERROR(PROPERTIES[[#This Row],[TE_STARTING_KN]]/(PROPERTIES[[#This Row],[WEIGHT]]*9.81),0)</f>
        <v>0.18097475217539039</v>
      </c>
      <c r="V942" s="25">
        <v>0</v>
      </c>
      <c r="W942" s="21">
        <f>ROUND(IF(IFERROR(PROPERTIES[[#This Row],[TE_COEFFICIENT_CALC]],0)=0,PROPERTIES[[#This Row],[TE_COEFFICIENT_MANUAL]],PROPERTIES[[#This Row],[TE_COEFFICIENT_CALC]]),3)</f>
        <v>0.18099999999999999</v>
      </c>
      <c r="X942" s="32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1">
        <v>0</v>
      </c>
      <c r="Z942" s="7">
        <v>0</v>
      </c>
      <c r="AA942" t="s">
        <v>247</v>
      </c>
      <c r="AB942" t="s">
        <v>238</v>
      </c>
      <c r="AC942" t="s">
        <v>238</v>
      </c>
      <c r="AD942" s="2" t="s">
        <v>238</v>
      </c>
      <c r="AE942" s="2" t="s">
        <v>253</v>
      </c>
      <c r="AF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2" s="2" t="str">
        <f>SUBSTITUTE(SUBSTITUTE(PROPERTIES[[#This Row],[PURCHASECOST_VALUE]], "PURCHASECOST_", ""), "_VALUE", "")</f>
        <v>DIESELENGINE</v>
      </c>
      <c r="AI942" s="7" t="str" cm="1">
        <f t="array" ref="AI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2" s="43" t="b">
        <v>0</v>
      </c>
      <c r="AK942" s="8" t="b">
        <v>0</v>
      </c>
      <c r="BA942" s="7"/>
      <c r="BB942" s="8"/>
      <c r="BC942" s="9"/>
      <c r="BD942"/>
    </row>
    <row r="943" spans="1:56">
      <c r="A943" s="2" t="s">
        <v>3456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5" t="str">
        <f>_xlfn.XLOOKUP(PROPERTIES[[#This Row],[VEHIDCODE]],CONTROL[VEHIDCODE],CONTROL[ENGLISH])</f>
        <v>Zhuzhou SS8</v>
      </c>
      <c r="F943" t="s">
        <v>614</v>
      </c>
      <c r="G943" s="45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8">
        <v>88</v>
      </c>
      <c r="R943">
        <v>4830</v>
      </c>
      <c r="S943">
        <v>170</v>
      </c>
      <c r="T943" s="25">
        <v>208</v>
      </c>
      <c r="U943" s="25">
        <f>IFERROR(PROPERTIES[[#This Row],[TE_STARTING_KN]]/(PROPERTIES[[#This Row],[WEIGHT]]*9.81),0)</f>
        <v>0.24094152534519506</v>
      </c>
      <c r="V943" s="25">
        <v>0</v>
      </c>
      <c r="W943" s="21">
        <f>ROUND(IF(IFERROR(PROPERTIES[[#This Row],[TE_COEFFICIENT_CALC]],0)=0,PROPERTIES[[#This Row],[TE_COEFFICIENT_MANUAL]],PROPERTIES[[#This Row],[TE_COEFFICIENT_CALC]]),3)</f>
        <v>0.24099999999999999</v>
      </c>
      <c r="X943" s="32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1">
        <v>0</v>
      </c>
      <c r="Z943" s="7">
        <v>0</v>
      </c>
      <c r="AA943" t="s">
        <v>247</v>
      </c>
      <c r="AB943" t="s">
        <v>238</v>
      </c>
      <c r="AC943" t="s">
        <v>238</v>
      </c>
      <c r="AD943" s="2" t="s">
        <v>238</v>
      </c>
      <c r="AE943" s="2" t="s">
        <v>253</v>
      </c>
      <c r="AF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3" s="2" t="str">
        <f>SUBSTITUTE(SUBSTITUTE(PROPERTIES[[#This Row],[PURCHASECOST_VALUE]], "PURCHASECOST_", ""), "_VALUE", "")</f>
        <v>ELECTRICENGINE</v>
      </c>
      <c r="AI943" s="7" t="str" cm="1">
        <f t="array" ref="AI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3" s="43" t="b">
        <v>0</v>
      </c>
      <c r="AK943" s="8" t="b">
        <v>0</v>
      </c>
      <c r="BA943" s="7"/>
      <c r="BB943" s="8"/>
      <c r="BC943" s="9"/>
      <c r="BD943"/>
    </row>
    <row r="944" spans="1:56">
      <c r="A944" s="2" t="s">
        <v>3457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5" t="str">
        <f>_xlfn.XLOOKUP(PROPERTIES[[#This Row],[VEHIDCODE]],CONTROL[VEHIDCODE],CONTROL[ENGLISH])</f>
        <v>Alstom/CRRC Datong HXD2B</v>
      </c>
      <c r="F944" t="s">
        <v>614</v>
      </c>
      <c r="G944" s="45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8">
        <v>150</v>
      </c>
      <c r="R944">
        <v>12900</v>
      </c>
      <c r="S944">
        <v>120</v>
      </c>
      <c r="T944" s="25">
        <v>584</v>
      </c>
      <c r="U944" s="25">
        <f>IFERROR(PROPERTIES[[#This Row],[TE_STARTING_KN]]/(PROPERTIES[[#This Row],[WEIGHT]]*9.81),0)</f>
        <v>0.39687393815834182</v>
      </c>
      <c r="V944" s="25">
        <v>0</v>
      </c>
      <c r="W944" s="21">
        <f>ROUND(IF(IFERROR(PROPERTIES[[#This Row],[TE_COEFFICIENT_CALC]],0)=0,PROPERTIES[[#This Row],[TE_COEFFICIENT_MANUAL]],PROPERTIES[[#This Row],[TE_COEFFICIENT_CALC]]),3)</f>
        <v>0.39700000000000002</v>
      </c>
      <c r="X944" s="32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1">
        <v>0</v>
      </c>
      <c r="Z944" s="7">
        <v>0</v>
      </c>
      <c r="AA944" t="s">
        <v>2013</v>
      </c>
      <c r="AB944" t="s">
        <v>238</v>
      </c>
      <c r="AC944" t="s">
        <v>238</v>
      </c>
      <c r="AD944" s="2" t="s">
        <v>238</v>
      </c>
      <c r="AE944" s="2" t="s">
        <v>253</v>
      </c>
      <c r="AF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4" s="2" t="str">
        <f>SUBSTITUTE(SUBSTITUTE(PROPERTIES[[#This Row],[PURCHASECOST_VALUE]], "PURCHASECOST_", ""), "_VALUE", "")</f>
        <v>ELECTRICENGINE</v>
      </c>
      <c r="AI944" s="7" t="str" cm="1">
        <f t="array" ref="AI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4" s="43" t="b">
        <v>0</v>
      </c>
      <c r="AK944" s="8" t="b">
        <v>0</v>
      </c>
      <c r="BA944" s="7"/>
      <c r="BB944" s="8"/>
      <c r="BC944" s="9"/>
      <c r="BD944"/>
    </row>
    <row r="945" spans="1:56">
      <c r="A945" s="2" t="s">
        <v>3458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5" t="str">
        <f>_xlfn.XLOOKUP(PROPERTIES[[#This Row],[VEHIDCODE]],CONTROL[VEHIDCODE],CONTROL[ENGLISH])</f>
        <v>CRRC Dalian HXD3D</v>
      </c>
      <c r="F945" t="s">
        <v>614</v>
      </c>
      <c r="G945" s="45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8">
        <v>128</v>
      </c>
      <c r="R945">
        <v>10058</v>
      </c>
      <c r="S945">
        <v>160</v>
      </c>
      <c r="T945" s="25">
        <v>420</v>
      </c>
      <c r="U945" s="25">
        <f>IFERROR(PROPERTIES[[#This Row],[TE_STARTING_KN]]/(PROPERTIES[[#This Row],[WEIGHT]]*9.81),0)</f>
        <v>0.33448012232415902</v>
      </c>
      <c r="V945" s="25">
        <v>0</v>
      </c>
      <c r="W945" s="21">
        <f>ROUND(IF(IFERROR(PROPERTIES[[#This Row],[TE_COEFFICIENT_CALC]],0)=0,PROPERTIES[[#This Row],[TE_COEFFICIENT_MANUAL]],PROPERTIES[[#This Row],[TE_COEFFICIENT_CALC]]),3)</f>
        <v>0.33400000000000002</v>
      </c>
      <c r="X945" s="32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1">
        <v>0</v>
      </c>
      <c r="Z945" s="7">
        <v>0</v>
      </c>
      <c r="AA945" t="s">
        <v>247</v>
      </c>
      <c r="AB945" t="s">
        <v>238</v>
      </c>
      <c r="AC945" t="s">
        <v>238</v>
      </c>
      <c r="AD945" s="2" t="s">
        <v>238</v>
      </c>
      <c r="AE945" s="2" t="s">
        <v>253</v>
      </c>
      <c r="AF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5" s="2" t="str">
        <f>SUBSTITUTE(SUBSTITUTE(PROPERTIES[[#This Row],[PURCHASECOST_VALUE]], "PURCHASECOST_", ""), "_VALUE", "")</f>
        <v>ELECTRICENGINE</v>
      </c>
      <c r="AI945" s="7" t="str" cm="1">
        <f t="array" ref="AI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5" s="43" t="b">
        <v>0</v>
      </c>
      <c r="AK945" s="8" t="b">
        <v>0</v>
      </c>
      <c r="BA945" s="7"/>
      <c r="BB945" s="8"/>
      <c r="BC945" s="9"/>
      <c r="BD945"/>
    </row>
    <row r="946" spans="1:56">
      <c r="A946" s="2" t="s">
        <v>3459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5" t="str">
        <f>_xlfn.XLOOKUP(PROPERTIES[[#This Row],[VEHIDCODE]],CONTROL[VEHIDCODE],CONTROL[ENGLISH])</f>
        <v>CRRC Dalian DF4</v>
      </c>
      <c r="F946" t="s">
        <v>614</v>
      </c>
      <c r="G946" s="45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8">
        <v>138</v>
      </c>
      <c r="R946">
        <v>3550</v>
      </c>
      <c r="S946">
        <v>120</v>
      </c>
      <c r="T946" s="25">
        <v>243</v>
      </c>
      <c r="U946" s="25">
        <f>IFERROR(PROPERTIES[[#This Row],[TE_STARTING_KN]]/(PROPERTIES[[#This Row],[WEIGHT]]*9.81),0)</f>
        <v>0.17949740725967292</v>
      </c>
      <c r="V946" s="25">
        <v>0</v>
      </c>
      <c r="W946" s="21">
        <f>ROUND(IF(IFERROR(PROPERTIES[[#This Row],[TE_COEFFICIENT_CALC]],0)=0,PROPERTIES[[#This Row],[TE_COEFFICIENT_MANUAL]],PROPERTIES[[#This Row],[TE_COEFFICIENT_CALC]]),3)</f>
        <v>0.17899999999999999</v>
      </c>
      <c r="X946" s="32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1">
        <v>0</v>
      </c>
      <c r="Z946" s="7">
        <v>0</v>
      </c>
      <c r="AA946" t="s">
        <v>247</v>
      </c>
      <c r="AB946" t="s">
        <v>238</v>
      </c>
      <c r="AC946" t="s">
        <v>238</v>
      </c>
      <c r="AD946" s="2" t="s">
        <v>238</v>
      </c>
      <c r="AE946" s="2" t="s">
        <v>253</v>
      </c>
      <c r="AF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6" s="2" t="str">
        <f>SUBSTITUTE(SUBSTITUTE(PROPERTIES[[#This Row],[PURCHASECOST_VALUE]], "PURCHASECOST_", ""), "_VALUE", "")</f>
        <v>DIESELENGINE</v>
      </c>
      <c r="AI946" s="7" t="str" cm="1">
        <f t="array" ref="AI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46" s="43" t="b">
        <v>0</v>
      </c>
      <c r="AK946" s="8" t="b">
        <v>0</v>
      </c>
      <c r="BA946" s="7"/>
      <c r="BB946" s="8"/>
      <c r="BC946" s="9"/>
      <c r="BD946"/>
    </row>
    <row r="947" spans="1:56">
      <c r="A947" s="2" t="s">
        <v>3460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5" t="str">
        <f>_xlfn.XLOOKUP(PROPERTIES[[#This Row],[VEHIDCODE]],CONTROL[VEHIDCODE],CONTROL[ENGLISH])</f>
        <v>Tangshan/Dalian/Sifang DF5</v>
      </c>
      <c r="F947" t="s">
        <v>614</v>
      </c>
      <c r="G947" s="45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8">
        <v>138</v>
      </c>
      <c r="R947">
        <v>1320</v>
      </c>
      <c r="S947">
        <v>100</v>
      </c>
      <c r="T947" s="25">
        <v>392</v>
      </c>
      <c r="U947" s="25">
        <f>IFERROR(PROPERTIES[[#This Row],[TE_STARTING_KN]]/(PROPERTIES[[#This Row],[WEIGHT]]*9.81),0)</f>
        <v>0.28955960348062465</v>
      </c>
      <c r="V947" s="25">
        <v>0</v>
      </c>
      <c r="W947" s="21">
        <f>ROUND(IF(IFERROR(PROPERTIES[[#This Row],[TE_COEFFICIENT_CALC]],0)=0,PROPERTIES[[#This Row],[TE_COEFFICIENT_MANUAL]],PROPERTIES[[#This Row],[TE_COEFFICIENT_CALC]]),3)</f>
        <v>0.28999999999999998</v>
      </c>
      <c r="X947" s="32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1">
        <v>0</v>
      </c>
      <c r="Z947" s="7">
        <v>0</v>
      </c>
      <c r="AA947" t="s">
        <v>247</v>
      </c>
      <c r="AB947" t="s">
        <v>238</v>
      </c>
      <c r="AC947" t="s">
        <v>238</v>
      </c>
      <c r="AD947" s="2" t="s">
        <v>238</v>
      </c>
      <c r="AE947" s="2" t="s">
        <v>253</v>
      </c>
      <c r="AF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7" s="2" t="str">
        <f>SUBSTITUTE(SUBSTITUTE(PROPERTIES[[#This Row],[PURCHASECOST_VALUE]], "PURCHASECOST_", ""), "_VALUE", "")</f>
        <v>DIESELENGINE</v>
      </c>
      <c r="AI947" s="7" t="str" cm="1">
        <f t="array" ref="AI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47" s="43" t="b">
        <v>0</v>
      </c>
      <c r="AK947" s="8" t="b">
        <v>0</v>
      </c>
      <c r="BA947" s="7"/>
      <c r="BB947" s="8"/>
      <c r="BC947" s="9"/>
      <c r="BD947"/>
    </row>
    <row r="948" spans="1:56">
      <c r="A948" s="2" t="s">
        <v>3461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5" t="str">
        <f>_xlfn.XLOOKUP(PROPERTIES[[#This Row],[VEHIDCODE]],CONTROL[VEHIDCODE],CONTROL[ENGLISH])</f>
        <v>Dalian 2-8-2 JS Class</v>
      </c>
      <c r="F948" t="s">
        <v>614</v>
      </c>
      <c r="G948" s="45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8">
        <v>186</v>
      </c>
      <c r="R948">
        <v>2270</v>
      </c>
      <c r="S948">
        <v>85</v>
      </c>
      <c r="T948" s="25">
        <v>250</v>
      </c>
      <c r="U948" s="25">
        <f>IFERROR(PROPERTIES[[#This Row],[TE_STARTING_KN]]/(PROPERTIES[[#This Row],[WEIGHT]]*9.81),0)</f>
        <v>0.13701182686089464</v>
      </c>
      <c r="V948" s="25">
        <v>0</v>
      </c>
      <c r="W948" s="21">
        <f>ROUND(IF(IFERROR(PROPERTIES[[#This Row],[TE_COEFFICIENT_CALC]],0)=0,PROPERTIES[[#This Row],[TE_COEFFICIENT_MANUAL]],PROPERTIES[[#This Row],[TE_COEFFICIENT_CALC]]),3)</f>
        <v>0.13700000000000001</v>
      </c>
      <c r="X948" s="32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1">
        <v>0</v>
      </c>
      <c r="Z948" s="7">
        <v>4</v>
      </c>
      <c r="AA948" t="s">
        <v>247</v>
      </c>
      <c r="AB948" t="s">
        <v>238</v>
      </c>
      <c r="AC948" t="s">
        <v>238</v>
      </c>
      <c r="AD948" s="2" t="s">
        <v>238</v>
      </c>
      <c r="AE948" s="2" t="s">
        <v>253</v>
      </c>
      <c r="AF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8" s="2" t="str">
        <f>SUBSTITUTE(SUBSTITUTE(PROPERTIES[[#This Row],[PURCHASECOST_VALUE]], "PURCHASECOST_", ""), "_VALUE", "")</f>
        <v>STEAMENGINE</v>
      </c>
      <c r="AI948" s="7" t="str" cm="1">
        <f t="array" ref="AI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8" s="43" t="b">
        <v>0</v>
      </c>
      <c r="AK948" s="8" t="b">
        <v>0</v>
      </c>
      <c r="BA948" s="7"/>
      <c r="BB948" s="8"/>
      <c r="BC948" s="9"/>
      <c r="BD948"/>
    </row>
    <row r="949" spans="1:56">
      <c r="A949" s="2" t="s">
        <v>3462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5" t="str">
        <f>_xlfn.XLOOKUP(PROPERTIES[[#This Row],[VEHIDCODE]],CONTROL[VEHIDCODE],CONTROL[ENGLISH])</f>
        <v>CSR Sifang 4-6-2 RM</v>
      </c>
      <c r="F949" t="s">
        <v>614</v>
      </c>
      <c r="G949" s="45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8">
        <v>180</v>
      </c>
      <c r="R949">
        <v>1397</v>
      </c>
      <c r="S949">
        <v>110</v>
      </c>
      <c r="T949" s="25">
        <v>180</v>
      </c>
      <c r="U949" s="25">
        <f>IFERROR(PROPERTIES[[#This Row],[TE_STARTING_KN]]/(PROPERTIES[[#This Row],[WEIGHT]]*9.81),0)</f>
        <v>0.1019367991845056</v>
      </c>
      <c r="V949" s="25">
        <v>0</v>
      </c>
      <c r="W949" s="21">
        <f>ROUND(IF(IFERROR(PROPERTIES[[#This Row],[TE_COEFFICIENT_CALC]],0)=0,PROPERTIES[[#This Row],[TE_COEFFICIENT_MANUAL]],PROPERTIES[[#This Row],[TE_COEFFICIENT_CALC]]),3)</f>
        <v>0.10199999999999999</v>
      </c>
      <c r="X949" s="32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1">
        <v>0</v>
      </c>
      <c r="Z949" s="7">
        <v>4</v>
      </c>
      <c r="AA949" t="s">
        <v>247</v>
      </c>
      <c r="AB949" t="s">
        <v>238</v>
      </c>
      <c r="AC949" t="s">
        <v>238</v>
      </c>
      <c r="AD949" s="2" t="s">
        <v>238</v>
      </c>
      <c r="AE949" s="2" t="s">
        <v>253</v>
      </c>
      <c r="AF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9" s="2" t="str">
        <f>SUBSTITUTE(SUBSTITUTE(PROPERTIES[[#This Row],[PURCHASECOST_VALUE]], "PURCHASECOST_", ""), "_VALUE", "")</f>
        <v>STEAMENGINE</v>
      </c>
      <c r="AI949" s="7" t="str" cm="1">
        <f t="array" ref="AI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9" s="43" t="b">
        <v>0</v>
      </c>
      <c r="AK949" s="8" t="b">
        <v>0</v>
      </c>
      <c r="BA949" s="7"/>
      <c r="BB949" s="8"/>
      <c r="BC949" s="9"/>
      <c r="BD949"/>
    </row>
    <row r="950" spans="1:56">
      <c r="A950" s="2" t="s">
        <v>3463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5" t="str">
        <f>_xlfn.XLOOKUP(PROPERTIES[[#This Row],[VEHIDCODE]],CONTROL[VEHIDCODE],CONTROL[ENGLISH])</f>
        <v>MAV Ikarus 260</v>
      </c>
      <c r="F950" t="s">
        <v>665</v>
      </c>
      <c r="G950" s="45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8">
        <v>8.5</v>
      </c>
      <c r="R950">
        <v>190</v>
      </c>
      <c r="S950">
        <v>66</v>
      </c>
      <c r="T950" s="25">
        <v>26</v>
      </c>
      <c r="U950" s="25">
        <f>IFERROR(PROPERTIES[[#This Row],[TE_STARTING_KN]]/(PROPERTIES[[#This Row],[WEIGHT]]*9.81),0)</f>
        <v>0.3118066798584877</v>
      </c>
      <c r="V950" s="25">
        <v>0</v>
      </c>
      <c r="W950" s="21">
        <f>ROUND(IF(IFERROR(PROPERTIES[[#This Row],[TE_COEFFICIENT_CALC]],0)=0,PROPERTIES[[#This Row],[TE_COEFFICIENT_MANUAL]],PROPERTIES[[#This Row],[TE_COEFFICIENT_CALC]]),3)</f>
        <v>0.312</v>
      </c>
      <c r="X950" s="32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1">
        <v>0</v>
      </c>
      <c r="Z950" s="7">
        <v>0</v>
      </c>
      <c r="AA950" t="s">
        <v>245</v>
      </c>
      <c r="AB950" t="s">
        <v>238</v>
      </c>
      <c r="AC950" t="s">
        <v>238</v>
      </c>
      <c r="AD950" s="2" t="s">
        <v>238</v>
      </c>
      <c r="AE950" s="2" t="s">
        <v>253</v>
      </c>
      <c r="AF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950" s="2" t="str">
        <f>SUBSTITUTE(SUBSTITUTE(PROPERTIES[[#This Row],[PURCHASECOST_VALUE]], "PURCHASECOST_", ""), "_VALUE", "")</f>
        <v>DIESELRAILBUS</v>
      </c>
      <c r="AI950" s="7" t="str" cm="1">
        <f t="array" ref="AI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50" s="43" t="b">
        <v>0</v>
      </c>
      <c r="AK950" s="8" t="b">
        <v>0</v>
      </c>
      <c r="BA950" s="7"/>
      <c r="BB950" s="8"/>
      <c r="BC950" s="9"/>
      <c r="BD950"/>
    </row>
    <row r="951" spans="1:56">
      <c r="A951" s="2" t="s">
        <v>3464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5" t="str">
        <f>_xlfn.XLOOKUP(PROPERTIES[[#This Row],[VEHIDCODE]],CONTROL[VEHIDCODE],CONTROL[ENGLISH])</f>
        <v>GE ES43ACi</v>
      </c>
      <c r="F951" t="s">
        <v>743</v>
      </c>
      <c r="G951" s="45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8">
        <v>195</v>
      </c>
      <c r="R951">
        <v>4563</v>
      </c>
      <c r="S951">
        <v>110</v>
      </c>
      <c r="T951" s="25">
        <v>810</v>
      </c>
      <c r="U951" s="25">
        <f>IFERROR(PROPERTIES[[#This Row],[TE_STARTING_KN]]/(PROPERTIES[[#This Row],[WEIGHT]]*9.81),0)</f>
        <v>0.42342978122794633</v>
      </c>
      <c r="V951" s="25">
        <v>0</v>
      </c>
      <c r="W951" s="21">
        <f>ROUND(IF(IFERROR(PROPERTIES[[#This Row],[TE_COEFFICIENT_CALC]],0)=0,PROPERTIES[[#This Row],[TE_COEFFICIENT_MANUAL]],PROPERTIES[[#This Row],[TE_COEFFICIENT_CALC]]),3)</f>
        <v>0.42299999999999999</v>
      </c>
      <c r="X951" s="32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1">
        <v>0</v>
      </c>
      <c r="Z951" s="7">
        <v>0</v>
      </c>
      <c r="AA951" t="s">
        <v>250</v>
      </c>
      <c r="AB951" t="s">
        <v>238</v>
      </c>
      <c r="AC951" t="s">
        <v>238</v>
      </c>
      <c r="AD951" s="2" t="s">
        <v>238</v>
      </c>
      <c r="AE951" s="2" t="s">
        <v>253</v>
      </c>
      <c r="AF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1" s="2" t="str">
        <f>SUBSTITUTE(SUBSTITUTE(PROPERTIES[[#This Row],[PURCHASECOST_VALUE]], "PURCHASECOST_", ""), "_VALUE", "")</f>
        <v>DIESELENGINE</v>
      </c>
      <c r="AI951" s="7" t="str" cm="1">
        <f t="array" ref="AI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1" s="43" t="b">
        <v>0</v>
      </c>
      <c r="AK951" s="8" t="b">
        <v>0</v>
      </c>
      <c r="BA951" s="7"/>
      <c r="BB951" s="8"/>
      <c r="BC951" s="9"/>
      <c r="BD951"/>
    </row>
    <row r="952" spans="1:56">
      <c r="A952" s="2" t="s">
        <v>3465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5" t="str">
        <f>_xlfn.XLOOKUP(PROPERTIES[[#This Row],[VEHIDCODE]],CONTROL[VEHIDCODE],CONTROL[ENGLISH])</f>
        <v>EMD GP40</v>
      </c>
      <c r="F952" t="s">
        <v>796</v>
      </c>
      <c r="G952" s="45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8">
        <v>160</v>
      </c>
      <c r="R952">
        <v>3000</v>
      </c>
      <c r="S952">
        <v>134</v>
      </c>
      <c r="T952" s="25">
        <v>410</v>
      </c>
      <c r="U952" s="25">
        <f>IFERROR(PROPERTIES[[#This Row],[TE_STARTING_KN]]/(PROPERTIES[[#This Row],[WEIGHT]]*9.81),0)</f>
        <v>0.26121304791029559</v>
      </c>
      <c r="V952" s="25">
        <v>0</v>
      </c>
      <c r="W952" s="21">
        <f>ROUND(IF(IFERROR(PROPERTIES[[#This Row],[TE_COEFFICIENT_CALC]],0)=0,PROPERTIES[[#This Row],[TE_COEFFICIENT_MANUAL]],PROPERTIES[[#This Row],[TE_COEFFICIENT_CALC]]),3)</f>
        <v>0.26100000000000001</v>
      </c>
      <c r="X952" s="32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1">
        <v>0</v>
      </c>
      <c r="Z952" s="7">
        <v>0</v>
      </c>
      <c r="AA952" t="s">
        <v>249</v>
      </c>
      <c r="AB952" t="s">
        <v>242</v>
      </c>
      <c r="AC952" t="s">
        <v>238</v>
      </c>
      <c r="AD952" s="2" t="s">
        <v>238</v>
      </c>
      <c r="AE952" s="2" t="s">
        <v>253</v>
      </c>
      <c r="AF952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2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2" s="2" t="str">
        <f>SUBSTITUTE(SUBSTITUTE(PROPERTIES[[#This Row],[PURCHASECOST_VALUE]], "PURCHASECOST_", ""), "_VALUE", "")</f>
        <v>DIESELENGINE</v>
      </c>
      <c r="AI952" s="7" t="str" cm="1">
        <f t="array" ref="AI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2" s="43" t="b">
        <v>0</v>
      </c>
      <c r="AK952" s="8" t="b">
        <v>0</v>
      </c>
      <c r="BA952" s="7"/>
      <c r="BB952" s="8"/>
      <c r="BC952" s="9"/>
      <c r="BD952"/>
    </row>
    <row r="953" spans="1:56">
      <c r="A953" s="2" t="s">
        <v>3466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5" t="str">
        <f>_xlfn.XLOOKUP(PROPERTIES[[#This Row],[VEHIDCODE]],CONTROL[VEHIDCODE],CONTROL[ENGLISH])</f>
        <v>EMD SD70</v>
      </c>
      <c r="F953" t="s">
        <v>796</v>
      </c>
      <c r="G953" s="45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8">
        <v>178</v>
      </c>
      <c r="R953">
        <v>4000</v>
      </c>
      <c r="S953">
        <v>113</v>
      </c>
      <c r="T953" s="25">
        <v>800</v>
      </c>
      <c r="U953" s="25">
        <f>IFERROR(PROPERTIES[[#This Row],[TE_STARTING_KN]]/(PROPERTIES[[#This Row],[WEIGHT]]*9.81),0)</f>
        <v>0.45814291768317122</v>
      </c>
      <c r="V953" s="25">
        <v>0</v>
      </c>
      <c r="W953" s="21">
        <f>ROUND(IF(IFERROR(PROPERTIES[[#This Row],[TE_COEFFICIENT_CALC]],0)=0,PROPERTIES[[#This Row],[TE_COEFFICIENT_MANUAL]],PROPERTIES[[#This Row],[TE_COEFFICIENT_CALC]]),3)</f>
        <v>0.45800000000000002</v>
      </c>
      <c r="X953" s="32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1">
        <v>0</v>
      </c>
      <c r="Z953" s="7">
        <v>0</v>
      </c>
      <c r="AA953" t="s">
        <v>249</v>
      </c>
      <c r="AB953" t="s">
        <v>242</v>
      </c>
      <c r="AC953" t="s">
        <v>242</v>
      </c>
      <c r="AD953" s="2" t="s">
        <v>238</v>
      </c>
      <c r="AE953" s="2" t="s">
        <v>253</v>
      </c>
      <c r="AF953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3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3" s="2" t="str">
        <f>SUBSTITUTE(SUBSTITUTE(PROPERTIES[[#This Row],[PURCHASECOST_VALUE]], "PURCHASECOST_", ""), "_VALUE", "")</f>
        <v>DIESELENGINE</v>
      </c>
      <c r="AI953" s="7" t="str" cm="1">
        <f t="array" ref="AI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3" s="43" t="b">
        <v>0</v>
      </c>
      <c r="AK953" s="8" t="b">
        <v>0</v>
      </c>
      <c r="BA953" s="7"/>
      <c r="BB953" s="8"/>
      <c r="BC953" s="9"/>
      <c r="BD953"/>
    </row>
    <row r="954" spans="1:56">
      <c r="A954" s="2" t="s">
        <v>3467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5" t="str">
        <f>_xlfn.XLOOKUP(PROPERTIES[[#This Row],[VEHIDCODE]],CONTROL[VEHIDCODE],CONTROL[ENGLISH])</f>
        <v>GE C30-7 'Dash 7'</v>
      </c>
      <c r="F954" t="s">
        <v>722</v>
      </c>
      <c r="G954" s="45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8">
        <v>166</v>
      </c>
      <c r="R954">
        <v>3000</v>
      </c>
      <c r="S954">
        <v>113</v>
      </c>
      <c r="T954" s="25">
        <v>407</v>
      </c>
      <c r="U954" s="25">
        <f>IFERROR(PROPERTIES[[#This Row],[TE_STARTING_KN]]/(PROPERTIES[[#This Row],[WEIGHT]]*9.81),0)</f>
        <v>0.24992938113309507</v>
      </c>
      <c r="V954" s="25">
        <v>0</v>
      </c>
      <c r="W954" s="21">
        <f>ROUND(IF(IFERROR(PROPERTIES[[#This Row],[TE_COEFFICIENT_CALC]],0)=0,PROPERTIES[[#This Row],[TE_COEFFICIENT_MANUAL]],PROPERTIES[[#This Row],[TE_COEFFICIENT_CALC]]),3)</f>
        <v>0.25</v>
      </c>
      <c r="X954" s="32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1">
        <v>0</v>
      </c>
      <c r="Z954" s="7">
        <v>0</v>
      </c>
      <c r="AA954" t="s">
        <v>249</v>
      </c>
      <c r="AB954" t="s">
        <v>243</v>
      </c>
      <c r="AC954" t="s">
        <v>247</v>
      </c>
      <c r="AD954" s="2" t="s">
        <v>238</v>
      </c>
      <c r="AE954" s="2" t="s">
        <v>253</v>
      </c>
      <c r="AF954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4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4" s="2" t="str">
        <f>SUBSTITUTE(SUBSTITUTE(PROPERTIES[[#This Row],[PURCHASECOST_VALUE]], "PURCHASECOST_", ""), "_VALUE", "")</f>
        <v>DIESELENGINE</v>
      </c>
      <c r="AI954" s="7" t="str" cm="1">
        <f t="array" ref="AI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4" s="43" t="b">
        <v>0</v>
      </c>
      <c r="AK954" s="8" t="b">
        <v>0</v>
      </c>
      <c r="BA954" s="7"/>
      <c r="BB954" s="8"/>
      <c r="BC954" s="9"/>
      <c r="BD954"/>
    </row>
    <row r="955" spans="1:56">
      <c r="A955" s="2" t="s">
        <v>3468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5" t="str">
        <f>_xlfn.XLOOKUP(PROPERTIES[[#This Row],[VEHIDCODE]],CONTROL[VEHIDCODE],CONTROL[ENGLISH])</f>
        <v>GE C40-8 'Dash-8'</v>
      </c>
      <c r="F955" t="s">
        <v>597</v>
      </c>
      <c r="G955" s="45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8">
        <v>177.6</v>
      </c>
      <c r="R955">
        <v>4000</v>
      </c>
      <c r="S955">
        <v>113</v>
      </c>
      <c r="T955" s="25">
        <v>400</v>
      </c>
      <c r="U955" s="25">
        <f>IFERROR(PROPERTIES[[#This Row],[TE_STARTING_KN]]/(PROPERTIES[[#This Row],[WEIGHT]]*9.81),0)</f>
        <v>0.22958738555068831</v>
      </c>
      <c r="V955" s="25">
        <v>0</v>
      </c>
      <c r="W955" s="21">
        <f>ROUND(IF(IFERROR(PROPERTIES[[#This Row],[TE_COEFFICIENT_CALC]],0)=0,PROPERTIES[[#This Row],[TE_COEFFICIENT_MANUAL]],PROPERTIES[[#This Row],[TE_COEFFICIENT_CALC]]),3)</f>
        <v>0.23</v>
      </c>
      <c r="X955" s="32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1">
        <v>0</v>
      </c>
      <c r="Z955" s="7">
        <v>0</v>
      </c>
      <c r="AA955" t="s">
        <v>249</v>
      </c>
      <c r="AB955" t="s">
        <v>238</v>
      </c>
      <c r="AC955" t="s">
        <v>238</v>
      </c>
      <c r="AD955" s="2" t="s">
        <v>238</v>
      </c>
      <c r="AE955" s="2" t="s">
        <v>253</v>
      </c>
      <c r="AF955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5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5" s="2" t="str">
        <f>SUBSTITUTE(SUBSTITUTE(PROPERTIES[[#This Row],[PURCHASECOST_VALUE]], "PURCHASECOST_", ""), "_VALUE", "")</f>
        <v>DIESELENGINE</v>
      </c>
      <c r="AI955" s="7" t="str" cm="1">
        <f t="array" ref="AI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5" s="43" t="b">
        <v>0</v>
      </c>
      <c r="AK955" s="8" t="b">
        <v>0</v>
      </c>
      <c r="BA955" s="7"/>
      <c r="BB955" s="8"/>
      <c r="BC955" s="9"/>
      <c r="BD955"/>
    </row>
    <row r="956" spans="1:56">
      <c r="A956" s="2" t="s">
        <v>3469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5" t="str">
        <f>_xlfn.XLOOKUP(PROPERTIES[[#This Row],[VEHIDCODE]],CONTROL[VEHIDCODE],CONTROL[ENGLISH])</f>
        <v>GE C44-9W 'Dash 9'</v>
      </c>
      <c r="F956" t="s">
        <v>604</v>
      </c>
      <c r="G956" s="45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8">
        <v>193</v>
      </c>
      <c r="R956">
        <v>4400</v>
      </c>
      <c r="S956">
        <v>119</v>
      </c>
      <c r="T956" s="25">
        <v>640</v>
      </c>
      <c r="U956" s="25">
        <f>IFERROR(PROPERTIES[[#This Row],[TE_STARTING_KN]]/(PROPERTIES[[#This Row],[WEIGHT]]*9.81),0)</f>
        <v>0.3380287641351481</v>
      </c>
      <c r="V956" s="25">
        <v>0</v>
      </c>
      <c r="W956" s="21">
        <f>ROUND(IF(IFERROR(PROPERTIES[[#This Row],[TE_COEFFICIENT_CALC]],0)=0,PROPERTIES[[#This Row],[TE_COEFFICIENT_MANUAL]],PROPERTIES[[#This Row],[TE_COEFFICIENT_CALC]]),3)</f>
        <v>0.33800000000000002</v>
      </c>
      <c r="X956" s="32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1">
        <v>0</v>
      </c>
      <c r="Z956" s="7">
        <v>0</v>
      </c>
      <c r="AA956" t="s">
        <v>249</v>
      </c>
      <c r="AB956" t="s">
        <v>241</v>
      </c>
      <c r="AC956" t="s">
        <v>238</v>
      </c>
      <c r="AD956" s="2" t="s">
        <v>238</v>
      </c>
      <c r="AE956" s="2" t="s">
        <v>253</v>
      </c>
      <c r="AF95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6" s="2" t="str">
        <f>SUBSTITUTE(SUBSTITUTE(PROPERTIES[[#This Row],[PURCHASECOST_VALUE]], "PURCHASECOST_", ""), "_VALUE", "")</f>
        <v>DIESELENGINE</v>
      </c>
      <c r="AI956" s="7" t="str" cm="1">
        <f t="array" ref="AI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6" s="43" t="b">
        <v>0</v>
      </c>
      <c r="AK956" s="8" t="b">
        <v>0</v>
      </c>
      <c r="BA956" s="7"/>
      <c r="BB956" s="8"/>
      <c r="BC956" s="9"/>
      <c r="BD956"/>
    </row>
    <row r="957" spans="1:56">
      <c r="A957" s="2" t="s">
        <v>3560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5" t="str">
        <f>_xlfn.XLOOKUP(PROPERTIES[[#This Row],[VEHIDCODE]],CONTROL[VEHIDCODE],CONTROL[ENGLISH])</f>
        <v>EMD GP40</v>
      </c>
      <c r="F957" t="s">
        <v>796</v>
      </c>
      <c r="G957" s="45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8">
        <v>119</v>
      </c>
      <c r="R957">
        <v>3000</v>
      </c>
      <c r="S957">
        <f>INT(75*1.62)</f>
        <v>121</v>
      </c>
      <c r="T957" s="25">
        <v>278</v>
      </c>
      <c r="U957" s="25">
        <f>IFERROR(PROPERTIES[[#This Row],[TE_STARTING_KN]]/(PROPERTIES[[#This Row],[WEIGHT]]*9.81),0)</f>
        <v>0.23813806868313073</v>
      </c>
      <c r="V957" s="25">
        <v>0</v>
      </c>
      <c r="W957" s="21">
        <f>ROUND(IF(IFERROR(PROPERTIES[[#This Row],[TE_COEFFICIENT_CALC]],0)=0,PROPERTIES[[#This Row],[TE_COEFFICIENT_MANUAL]],PROPERTIES[[#This Row],[TE_COEFFICIENT_CALC]]),3)</f>
        <v>0.23799999999999999</v>
      </c>
      <c r="X957" s="32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1">
        <v>0</v>
      </c>
      <c r="Z957" s="7">
        <v>0</v>
      </c>
      <c r="AA957" t="s">
        <v>249</v>
      </c>
      <c r="AB957" t="s">
        <v>238</v>
      </c>
      <c r="AC957" t="s">
        <v>238</v>
      </c>
      <c r="AD957" s="2" t="s">
        <v>238</v>
      </c>
      <c r="AE957" s="2" t="s">
        <v>253</v>
      </c>
      <c r="AF957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7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7" s="2" t="str">
        <f>SUBSTITUTE(SUBSTITUTE(PROPERTIES[[#This Row],[PURCHASECOST_VALUE]], "PURCHASECOST_", ""), "_VALUE", "")</f>
        <v>DIESELENGINE</v>
      </c>
      <c r="AI957" s="7" t="str" cm="1">
        <f t="array" ref="AI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57" s="43" t="b">
        <v>0</v>
      </c>
      <c r="AK957" s="8" t="b">
        <v>1</v>
      </c>
      <c r="BA957" s="7"/>
      <c r="BB957" s="8"/>
      <c r="BC957" s="9"/>
      <c r="BD957"/>
    </row>
    <row r="958" spans="1:56">
      <c r="A958" s="2" t="s">
        <v>3470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5" t="str">
        <f>_xlfn.XLOOKUP(PROPERTIES[[#This Row],[VEHIDCODE]],CONTROL[VEHIDCODE],CONTROL[ENGLISH])</f>
        <v>Kitson 2-2-2 3166-3171</v>
      </c>
      <c r="F958" t="s">
        <v>631</v>
      </c>
      <c r="G958" s="45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8">
        <v>64.5</v>
      </c>
      <c r="R958">
        <v>550</v>
      </c>
      <c r="S958">
        <v>95</v>
      </c>
      <c r="T958" s="25">
        <v>47.2</v>
      </c>
      <c r="U958" s="24">
        <f>IFERROR(PROPERTIES[[#This Row],[TE_STARTING_KN]]/(PROPERTIES[[#This Row],[WEIGHT]]*9.81),0)</f>
        <v>7.4595611186180855E-2</v>
      </c>
      <c r="V958" s="24">
        <v>0</v>
      </c>
      <c r="W958" s="21">
        <f>ROUND(IF(IFERROR(PROPERTIES[[#This Row],[TE_COEFFICIENT_CALC]],0)=0,PROPERTIES[[#This Row],[TE_COEFFICIENT_MANUAL]],PROPERTIES[[#This Row],[TE_COEFFICIENT_CALC]]),3)</f>
        <v>7.4999999999999997E-2</v>
      </c>
      <c r="X958" s="9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1">
        <v>0</v>
      </c>
      <c r="Z958" s="7">
        <v>3</v>
      </c>
      <c r="AA958" t="s">
        <v>242</v>
      </c>
      <c r="AB958" t="s">
        <v>238</v>
      </c>
      <c r="AC958" t="s">
        <v>238</v>
      </c>
      <c r="AD958" s="2" t="s">
        <v>238</v>
      </c>
      <c r="AE958" s="2" t="s">
        <v>253</v>
      </c>
      <c r="AF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8" s="2" t="str">
        <f>SUBSTITUTE(SUBSTITUTE(PROPERTIES[[#This Row],[PURCHASECOST_VALUE]], "PURCHASECOST_", ""), "_VALUE", "")</f>
        <v>STEAMENGINE</v>
      </c>
      <c r="AI958" s="7" t="str" cm="1">
        <f t="array" ref="AI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8" s="43" t="b">
        <v>0</v>
      </c>
      <c r="AK958" s="8" t="b">
        <v>0</v>
      </c>
      <c r="BA958" s="7"/>
      <c r="BB958" s="8"/>
      <c r="BC958" s="9"/>
      <c r="BD958"/>
    </row>
    <row r="959" spans="1:56">
      <c r="A959" t="s">
        <v>3471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5" t="str">
        <f>_xlfn.XLOOKUP(PROPERTIES[[#This Row],[VEHIDCODE]],CONTROL[VEHIDCODE],CONTROL[ENGLISH])</f>
        <v>Burnham 2-6-0 15857-15871</v>
      </c>
      <c r="F959" t="s">
        <v>631</v>
      </c>
      <c r="G959" s="45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8">
        <v>64.2</v>
      </c>
      <c r="R959">
        <v>650</v>
      </c>
      <c r="S959">
        <v>75</v>
      </c>
      <c r="T959" s="25">
        <v>80</v>
      </c>
      <c r="U959" s="24">
        <f>IFERROR(PROPERTIES[[#This Row],[TE_STARTING_KN]]/(PROPERTIES[[#This Row],[WEIGHT]]*9.81),0)</f>
        <v>0.12702404882804436</v>
      </c>
      <c r="V959" s="24">
        <v>0</v>
      </c>
      <c r="W959" s="21">
        <f>ROUND(IF(IFERROR(PROPERTIES[[#This Row],[TE_COEFFICIENT_CALC]],0)=0,PROPERTIES[[#This Row],[TE_COEFFICIENT_MANUAL]],PROPERTIES[[#This Row],[TE_COEFFICIENT_CALC]]),3)</f>
        <v>0.127</v>
      </c>
      <c r="X959" s="9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1">
        <v>0</v>
      </c>
      <c r="Z959" s="7">
        <v>3</v>
      </c>
      <c r="AA959" t="s">
        <v>242</v>
      </c>
      <c r="AB959" t="s">
        <v>238</v>
      </c>
      <c r="AC959" t="s">
        <v>238</v>
      </c>
      <c r="AD959" s="2" t="s">
        <v>238</v>
      </c>
      <c r="AE959" s="2" t="s">
        <v>253</v>
      </c>
      <c r="AF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9" s="2" t="str">
        <f>SUBSTITUTE(SUBSTITUTE(PROPERTIES[[#This Row],[PURCHASECOST_VALUE]], "PURCHASECOST_", ""), "_VALUE", "")</f>
        <v>STEAMENGINE</v>
      </c>
      <c r="AI959" s="7" t="str" cm="1">
        <f t="array" ref="AI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9" s="43" t="b">
        <v>0</v>
      </c>
      <c r="AK959" s="8" t="b">
        <v>0</v>
      </c>
      <c r="BA959" s="7"/>
      <c r="BB959" s="8"/>
      <c r="BC959" s="9"/>
      <c r="BD959"/>
    </row>
    <row r="960" spans="1:56">
      <c r="A960" t="s">
        <v>3472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5" t="str">
        <f>_xlfn.XLOOKUP(PROPERTIES[[#This Row],[VEHIDCODE]],CONTROL[VEHIDCODE],CONTROL[ENGLISH])</f>
        <v>SA Franco-Belge 0-6-0 'Class 4'</v>
      </c>
      <c r="F960" t="s">
        <v>631</v>
      </c>
      <c r="G960" s="45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8">
        <v>65.3</v>
      </c>
      <c r="R960">
        <v>650</v>
      </c>
      <c r="S960">
        <v>60</v>
      </c>
      <c r="T960" s="25">
        <v>66.13</v>
      </c>
      <c r="U960" s="24">
        <f>IFERROR(PROPERTIES[[#This Row],[TE_STARTING_KN]]/(PROPERTIES[[#This Row],[WEIGHT]]*9.81),0)</f>
        <v>0.10323247366112337</v>
      </c>
      <c r="V960" s="24">
        <v>0</v>
      </c>
      <c r="W960" s="21">
        <f>ROUND(IF(IFERROR(PROPERTIES[[#This Row],[TE_COEFFICIENT_CALC]],0)=0,PROPERTIES[[#This Row],[TE_COEFFICIENT_MANUAL]],PROPERTIES[[#This Row],[TE_COEFFICIENT_CALC]]),3)</f>
        <v>0.10299999999999999</v>
      </c>
      <c r="X960" s="9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1">
        <v>0</v>
      </c>
      <c r="Z960" s="7">
        <v>3</v>
      </c>
      <c r="AA960" t="s">
        <v>242</v>
      </c>
      <c r="AB960" t="s">
        <v>238</v>
      </c>
      <c r="AC960" t="s">
        <v>238</v>
      </c>
      <c r="AD960" s="2" t="s">
        <v>238</v>
      </c>
      <c r="AE960" s="8" t="s">
        <v>253</v>
      </c>
      <c r="AF960" s="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0" s="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0" s="2" t="str">
        <f>SUBSTITUTE(SUBSTITUTE(PROPERTIES[[#This Row],[PURCHASECOST_VALUE]], "PURCHASECOST_", ""), "_VALUE", "")</f>
        <v>STEAMENGINE</v>
      </c>
      <c r="AI960" s="7" t="str" cm="1">
        <f t="array" ref="AI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0" s="9" t="b">
        <v>0</v>
      </c>
      <c r="AK960" s="8" t="b">
        <v>0</v>
      </c>
      <c r="BA960" s="7"/>
      <c r="BB960" s="8"/>
      <c r="BC960" s="9"/>
      <c r="BD960"/>
    </row>
    <row r="961" spans="1:56">
      <c r="A961" s="2" t="s">
        <v>3473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5" t="str">
        <f>_xlfn.XLOOKUP(PROPERTIES[[#This Row],[VEHIDCODE]],CONTROL[VEHIDCODE],CONTROL[ENGLISH])</f>
        <v>ACME Corp. Pegasus</v>
      </c>
      <c r="F961" t="s">
        <v>1067</v>
      </c>
      <c r="G961" s="45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8">
        <v>130</v>
      </c>
      <c r="R961">
        <v>15000</v>
      </c>
      <c r="S961">
        <v>480</v>
      </c>
      <c r="T961" s="25">
        <v>800</v>
      </c>
      <c r="U961" s="25">
        <f>IFERROR(PROPERTIES[[#This Row],[TE_STARTING_KN]]/(PROPERTIES[[#This Row],[WEIGHT]]*9.81),0)</f>
        <v>0.62730337959695759</v>
      </c>
      <c r="V961" s="25">
        <v>0</v>
      </c>
      <c r="W961" s="21">
        <f>ROUND(IF(IFERROR(PROPERTIES[[#This Row],[TE_COEFFICIENT_CALC]],0)=0,PROPERTIES[[#This Row],[TE_COEFFICIENT_MANUAL]],PROPERTIES[[#This Row],[TE_COEFFICIENT_CALC]]),3)</f>
        <v>0.627</v>
      </c>
      <c r="X961" s="32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1">
        <v>0</v>
      </c>
      <c r="Z961" s="7">
        <v>0</v>
      </c>
      <c r="AA961" t="s">
        <v>250</v>
      </c>
      <c r="AB961" t="s">
        <v>238</v>
      </c>
      <c r="AC961" t="s">
        <v>238</v>
      </c>
      <c r="AD961" s="2" t="s">
        <v>238</v>
      </c>
      <c r="AE961" s="8" t="s">
        <v>254</v>
      </c>
      <c r="AF961" s="7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961" s="7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961" s="2" t="str">
        <f>SUBSTITUTE(SUBSTITUTE(PROPERTIES[[#This Row],[PURCHASECOST_VALUE]], "PURCHASECOST_", ""), "_VALUE", "")</f>
        <v>MAGLEVENGINE</v>
      </c>
      <c r="AI961" s="7" t="str" cm="1">
        <f t="array" ref="AI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61" s="9" t="b">
        <v>0</v>
      </c>
      <c r="AK961" s="7" t="b">
        <v>0</v>
      </c>
      <c r="BA961" s="7"/>
      <c r="BB961" s="8"/>
      <c r="BC961" s="9"/>
      <c r="BD961"/>
    </row>
    <row r="962" spans="1:56">
      <c r="A962" s="2" t="s">
        <v>3474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5" t="str">
        <f>_xlfn.XLOOKUP(PROPERTIES[[#This Row],[VEHIDCODE]],CONTROL[VEHIDCODE],CONTROL[ENGLISH])</f>
        <v>ACME Corp. Chimaera</v>
      </c>
      <c r="F962" t="s">
        <v>1067</v>
      </c>
      <c r="G962" s="45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8">
        <v>150</v>
      </c>
      <c r="R962">
        <v>20000</v>
      </c>
      <c r="S962">
        <v>643</v>
      </c>
      <c r="T962" s="25">
        <v>1000</v>
      </c>
      <c r="U962" s="25">
        <f>IFERROR(PROPERTIES[[#This Row],[TE_STARTING_KN]]/(PROPERTIES[[#This Row],[WEIGHT]]*9.81),0)</f>
        <v>0.67957866123003741</v>
      </c>
      <c r="V962" s="25">
        <v>0</v>
      </c>
      <c r="W962" s="21">
        <f>ROUND(IF(IFERROR(PROPERTIES[[#This Row],[TE_COEFFICIENT_CALC]],0)=0,PROPERTIES[[#This Row],[TE_COEFFICIENT_MANUAL]],PROPERTIES[[#This Row],[TE_COEFFICIENT_CALC]]),3)</f>
        <v>0.68</v>
      </c>
      <c r="X962" s="32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1">
        <v>150</v>
      </c>
      <c r="Z962" s="7">
        <v>7</v>
      </c>
      <c r="AA962" t="s">
        <v>250</v>
      </c>
      <c r="AB962" t="s">
        <v>238</v>
      </c>
      <c r="AC962" t="s">
        <v>238</v>
      </c>
      <c r="AD962" s="2" t="s">
        <v>238</v>
      </c>
      <c r="AE962" s="8" t="s">
        <v>254</v>
      </c>
      <c r="AF962" s="7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962" s="7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962" s="2" t="str">
        <f>SUBSTITUTE(SUBSTITUTE(PROPERTIES[[#This Row],[PURCHASECOST_VALUE]], "PURCHASECOST_", ""), "_VALUE", "")</f>
        <v>MMU</v>
      </c>
      <c r="AI962" s="7" t="str" cm="1">
        <f t="array" ref="AI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62" s="9" t="b">
        <v>0</v>
      </c>
      <c r="AK962" s="7" t="b">
        <v>0</v>
      </c>
      <c r="BA962" s="7"/>
      <c r="BB962" s="8"/>
      <c r="BC962" s="9"/>
      <c r="BD962"/>
    </row>
    <row r="963" spans="1:56">
      <c r="A963" s="2" t="s">
        <v>1980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5" t="str">
        <f>_xlfn.XLOOKUP(PROPERTIES[[#This Row],[VEHIDCODE]],CONTROL[VEHIDCODE],CONTROL[ENGLISH])</f>
        <v>ACME Corp. Chimaera Passenger Coach</v>
      </c>
      <c r="F963" t="s">
        <v>1067</v>
      </c>
      <c r="G963" s="45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8">
        <v>35</v>
      </c>
      <c r="R963">
        <v>0</v>
      </c>
      <c r="S963">
        <v>643</v>
      </c>
      <c r="T963" s="25">
        <v>0</v>
      </c>
      <c r="U963" s="25">
        <f>IFERROR(PROPERTIES[[#This Row],[TE_STARTING_KN]]/(PROPERTIES[[#This Row],[WEIGHT]]*9.81),0)</f>
        <v>0</v>
      </c>
      <c r="V963" s="25">
        <v>0.3</v>
      </c>
      <c r="W963" s="21">
        <f>ROUND(IF(IFERROR(PROPERTIES[[#This Row],[TE_COEFFICIENT_CALC]],0)=0,PROPERTIES[[#This Row],[TE_COEFFICIENT_MANUAL]],PROPERTIES[[#This Row],[TE_COEFFICIENT_CALC]]),3)</f>
        <v>0.3</v>
      </c>
      <c r="X963" s="32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1">
        <v>150</v>
      </c>
      <c r="Z963" s="7">
        <v>7</v>
      </c>
      <c r="AA963" t="s">
        <v>250</v>
      </c>
      <c r="AB963" t="s">
        <v>238</v>
      </c>
      <c r="AC963" t="s">
        <v>238</v>
      </c>
      <c r="AD963" s="2" t="s">
        <v>238</v>
      </c>
      <c r="AE963" s="8" t="s">
        <v>254</v>
      </c>
      <c r="AF96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3" s="2" t="str">
        <f>SUBSTITUTE(SUBSTITUTE(PROPERTIES[[#This Row],[PURCHASECOST_VALUE]], "PURCHASECOST_", ""), "_VALUE", "")</f>
        <v>COACH</v>
      </c>
      <c r="AI963" s="7" t="str" cm="1">
        <f t="array" ref="AI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963" s="9" t="b">
        <v>0</v>
      </c>
      <c r="AK963" s="7" t="b">
        <v>0</v>
      </c>
      <c r="BA963" s="7"/>
      <c r="BB963" s="8"/>
      <c r="BC963" s="9"/>
      <c r="BD963"/>
    </row>
    <row r="964" spans="1:56">
      <c r="A964" s="2" t="s">
        <v>1981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5" t="str">
        <f>_xlfn.XLOOKUP(PROPERTIES[[#This Row],[VEHIDCODE]],CONTROL[VEHIDCODE],CONTROL[ENGLISH])</f>
        <v>ACME Corp. Chimaera Mail Coach</v>
      </c>
      <c r="F964" t="s">
        <v>1067</v>
      </c>
      <c r="G964" s="45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8">
        <v>35</v>
      </c>
      <c r="R964">
        <v>0</v>
      </c>
      <c r="S964">
        <v>643</v>
      </c>
      <c r="T964" s="25">
        <v>0</v>
      </c>
      <c r="U964" s="25">
        <f>IFERROR(PROPERTIES[[#This Row],[TE_STARTING_KN]]/(PROPERTIES[[#This Row],[WEIGHT]]*9.81),0)</f>
        <v>0</v>
      </c>
      <c r="V964" s="25">
        <v>0.3</v>
      </c>
      <c r="W964" s="21">
        <f>ROUND(IF(IFERROR(PROPERTIES[[#This Row],[TE_COEFFICIENT_CALC]],0)=0,PROPERTIES[[#This Row],[TE_COEFFICIENT_MANUAL]],PROPERTIES[[#This Row],[TE_COEFFICIENT_CALC]]),3)</f>
        <v>0.3</v>
      </c>
      <c r="X964" s="32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1">
        <v>150</v>
      </c>
      <c r="Z964" s="7">
        <v>7</v>
      </c>
      <c r="AA964" t="s">
        <v>250</v>
      </c>
      <c r="AB964" t="s">
        <v>238</v>
      </c>
      <c r="AC964" t="s">
        <v>238</v>
      </c>
      <c r="AD964" s="2" t="s">
        <v>238</v>
      </c>
      <c r="AE964" s="8" t="s">
        <v>254</v>
      </c>
      <c r="AF96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4" s="2" t="str">
        <f>SUBSTITUTE(SUBSTITUTE(PROPERTIES[[#This Row],[PURCHASECOST_VALUE]], "PURCHASECOST_", ""), "_VALUE", "")</f>
        <v>COACH</v>
      </c>
      <c r="AI964" s="7" t="str" cm="1">
        <f t="array" ref="AI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64" s="9" t="b">
        <v>0</v>
      </c>
      <c r="AK964" s="7" t="b">
        <v>0</v>
      </c>
      <c r="BA964" s="7"/>
      <c r="BB964" s="8"/>
      <c r="BC964" s="9"/>
      <c r="BD964"/>
    </row>
    <row r="965" spans="1:56">
      <c r="A965" s="2" t="s">
        <v>3475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5" t="str">
        <f>_xlfn.XLOOKUP(PROPERTIES[[#This Row],[VEHIDCODE]],CONTROL[VEHIDCODE],CONTROL[ENGLISH])</f>
        <v>Sharp/BP 0-6-0 BDZ 142-150</v>
      </c>
      <c r="F965" t="s">
        <v>589</v>
      </c>
      <c r="G965" s="45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8">
        <v>57.2</v>
      </c>
      <c r="R965">
        <v>650</v>
      </c>
      <c r="S965">
        <v>50</v>
      </c>
      <c r="T965" s="25">
        <v>57.45</v>
      </c>
      <c r="U965" s="24">
        <f>IFERROR(PROPERTIES[[#This Row],[TE_STARTING_KN]]/(PROPERTIES[[#This Row],[WEIGHT]]*9.81),0)</f>
        <v>0.10238232715296935</v>
      </c>
      <c r="V965" s="24">
        <v>0</v>
      </c>
      <c r="W965" s="21">
        <f>ROUND(IF(IFERROR(PROPERTIES[[#This Row],[TE_COEFFICIENT_CALC]],0)=0,PROPERTIES[[#This Row],[TE_COEFFICIENT_MANUAL]],PROPERTIES[[#This Row],[TE_COEFFICIENT_CALC]]),3)</f>
        <v>0.10199999999999999</v>
      </c>
      <c r="X965" s="9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1">
        <v>0</v>
      </c>
      <c r="Z965" s="7">
        <v>3</v>
      </c>
      <c r="AA965" t="s">
        <v>245</v>
      </c>
      <c r="AB965" t="s">
        <v>238</v>
      </c>
      <c r="AC965" t="s">
        <v>238</v>
      </c>
      <c r="AD965" s="2" t="s">
        <v>238</v>
      </c>
      <c r="AE965" s="2" t="s">
        <v>253</v>
      </c>
      <c r="AF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5" s="2" t="str">
        <f>SUBSTITUTE(SUBSTITUTE(PROPERTIES[[#This Row],[PURCHASECOST_VALUE]], "PURCHASECOST_", ""), "_VALUE", "")</f>
        <v>STEAMENGINE</v>
      </c>
      <c r="AI965" s="7" t="str" cm="1">
        <f t="array" ref="AI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5" s="43" t="b">
        <v>0</v>
      </c>
      <c r="AK965" s="8" t="b">
        <v>0</v>
      </c>
      <c r="BA965" s="7"/>
      <c r="BB965" s="8"/>
      <c r="BC965" s="9"/>
      <c r="BD965"/>
    </row>
    <row r="966" spans="1:56">
      <c r="A966" s="2" t="s">
        <v>3476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5" t="str">
        <f>_xlfn.XLOOKUP(PROPERTIES[[#This Row],[VEHIDCODE]],CONTROL[VEHIDCODE],CONTROL[ENGLISH])</f>
        <v>MAVAG 4-4-2 Class 203</v>
      </c>
      <c r="F966" t="s">
        <v>665</v>
      </c>
      <c r="G966" s="45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8">
        <v>74.3</v>
      </c>
      <c r="R966">
        <v>910</v>
      </c>
      <c r="S966">
        <v>100</v>
      </c>
      <c r="T966" s="25">
        <v>76.709999999999994</v>
      </c>
      <c r="U966" s="24">
        <f>IFERROR(PROPERTIES[[#This Row],[TE_STARTING_KN]]/(PROPERTIES[[#This Row],[WEIGHT]]*9.81),0)</f>
        <v>0.1052432283370582</v>
      </c>
      <c r="V966" s="24">
        <v>0</v>
      </c>
      <c r="W966" s="21">
        <f>ROUND(IF(IFERROR(PROPERTIES[[#This Row],[TE_COEFFICIENT_CALC]],0)=0,PROPERTIES[[#This Row],[TE_COEFFICIENT_MANUAL]],PROPERTIES[[#This Row],[TE_COEFFICIENT_CALC]]),3)</f>
        <v>0.105</v>
      </c>
      <c r="X966" s="9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1">
        <v>0</v>
      </c>
      <c r="Z966" s="7">
        <v>4</v>
      </c>
      <c r="AA966" t="s">
        <v>245</v>
      </c>
      <c r="AB966" t="s">
        <v>238</v>
      </c>
      <c r="AC966" t="s">
        <v>238</v>
      </c>
      <c r="AD966" s="2" t="s">
        <v>238</v>
      </c>
      <c r="AE966" s="2" t="s">
        <v>253</v>
      </c>
      <c r="AF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6" s="2" t="str">
        <f>SUBSTITUTE(SUBSTITUTE(PROPERTIES[[#This Row],[PURCHASECOST_VALUE]], "PURCHASECOST_", ""), "_VALUE", "")</f>
        <v>STEAMENGINE</v>
      </c>
      <c r="AI966" s="7" t="str" cm="1">
        <f t="array" ref="AI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66" s="43" t="b">
        <v>0</v>
      </c>
      <c r="AK966" s="8" t="b">
        <v>0</v>
      </c>
      <c r="BA966" s="7"/>
      <c r="BB966" s="8"/>
      <c r="BC966" s="9"/>
      <c r="BD966"/>
    </row>
    <row r="967" spans="1:56">
      <c r="A967" s="2" t="s">
        <v>3477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5" t="str">
        <f>_xlfn.XLOOKUP(PROPERTIES[[#This Row],[VEHIDCODE]],CONTROL[VEHIDCODE],CONTROL[ENGLISH])</f>
        <v>MAVAG 2-6-6-0 Class 601</v>
      </c>
      <c r="F967" t="s">
        <v>665</v>
      </c>
      <c r="G967" s="45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8">
        <v>106.5</v>
      </c>
      <c r="R967">
        <v>2950</v>
      </c>
      <c r="S967">
        <v>60</v>
      </c>
      <c r="T967" s="25">
        <v>218</v>
      </c>
      <c r="U967" s="24">
        <f>IFERROR(PROPERTIES[[#This Row],[TE_STARTING_KN]]/(PROPERTIES[[#This Row],[WEIGHT]]*9.81),0)</f>
        <v>0.20865936358894102</v>
      </c>
      <c r="V967" s="24">
        <v>0</v>
      </c>
      <c r="W967" s="21">
        <f>ROUND(IF(IFERROR(PROPERTIES[[#This Row],[TE_COEFFICIENT_CALC]],0)=0,PROPERTIES[[#This Row],[TE_COEFFICIENT_MANUAL]],PROPERTIES[[#This Row],[TE_COEFFICIENT_CALC]]),3)</f>
        <v>0.20899999999999999</v>
      </c>
      <c r="X967" s="9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1">
        <v>0</v>
      </c>
      <c r="Z967" s="7">
        <v>5</v>
      </c>
      <c r="AA967" t="s">
        <v>245</v>
      </c>
      <c r="AB967" t="s">
        <v>238</v>
      </c>
      <c r="AC967" t="s">
        <v>238</v>
      </c>
      <c r="AD967" s="2" t="s">
        <v>238</v>
      </c>
      <c r="AE967" s="2" t="s">
        <v>253</v>
      </c>
      <c r="AF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7" s="2" t="str">
        <f>SUBSTITUTE(SUBSTITUTE(PROPERTIES[[#This Row],[PURCHASECOST_VALUE]], "PURCHASECOST_", ""), "_VALUE", "")</f>
        <v>STEAMENGINE</v>
      </c>
      <c r="AI967" s="7" t="str" cm="1">
        <f t="array" ref="AI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67" s="43" t="b">
        <v>0</v>
      </c>
      <c r="AK967" s="8" t="b">
        <v>0</v>
      </c>
      <c r="BA967" s="7"/>
      <c r="BB967" s="8"/>
      <c r="BC967" s="9"/>
      <c r="BD967"/>
    </row>
    <row r="968" spans="1:56">
      <c r="A968" s="2" t="s">
        <v>3478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5" t="str">
        <f>_xlfn.XLOOKUP(PROPERTIES[[#This Row],[VEHIDCODE]],CONTROL[VEHIDCODE],CONTROL[ENGLISH])</f>
        <v>Ganz-MAVAG VM7 'V40'</v>
      </c>
      <c r="F968" t="s">
        <v>665</v>
      </c>
      <c r="G968" s="45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8">
        <v>94</v>
      </c>
      <c r="R968">
        <v>2203</v>
      </c>
      <c r="S968">
        <v>100</v>
      </c>
      <c r="T968" s="25">
        <v>200</v>
      </c>
      <c r="U968" s="24">
        <f>IFERROR(PROPERTIES[[#This Row],[TE_STARTING_KN]]/(PROPERTIES[[#This Row],[WEIGHT]]*9.81),0)</f>
        <v>0.21688680677554381</v>
      </c>
      <c r="V968" s="24">
        <v>0</v>
      </c>
      <c r="W968" s="21">
        <f>ROUND(IF(IFERROR(PROPERTIES[[#This Row],[TE_COEFFICIENT_CALC]],0)=0,PROPERTIES[[#This Row],[TE_COEFFICIENT_MANUAL]],PROPERTIES[[#This Row],[TE_COEFFICIENT_CALC]]),3)</f>
        <v>0.217</v>
      </c>
      <c r="X968" s="9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1">
        <v>0</v>
      </c>
      <c r="Z968" s="7">
        <v>0</v>
      </c>
      <c r="AA968" t="s">
        <v>245</v>
      </c>
      <c r="AB968" t="s">
        <v>238</v>
      </c>
      <c r="AC968" t="s">
        <v>238</v>
      </c>
      <c r="AD968" s="2" t="s">
        <v>238</v>
      </c>
      <c r="AE968" s="2" t="s">
        <v>253</v>
      </c>
      <c r="AF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68" s="2" t="str">
        <f>SUBSTITUTE(SUBSTITUTE(PROPERTIES[[#This Row],[PURCHASECOST_VALUE]], "PURCHASECOST_", ""), "_VALUE", "")</f>
        <v>ELECTRICENGINE</v>
      </c>
      <c r="AI968" s="7" t="str" cm="1">
        <f t="array" ref="AI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68" s="43" t="b">
        <v>0</v>
      </c>
      <c r="AK968" s="8" t="b">
        <v>0</v>
      </c>
      <c r="BA968" s="7"/>
      <c r="BB968" s="8"/>
      <c r="BC968" s="9"/>
      <c r="BD968"/>
    </row>
    <row r="969" spans="1:56">
      <c r="A969" s="2" t="s">
        <v>3479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5" t="str">
        <f>_xlfn.XLOOKUP(PROPERTIES[[#This Row],[VEHIDCODE]],CONTROL[VEHIDCODE],CONTROL[ENGLISH])</f>
        <v>PESA 111D</v>
      </c>
      <c r="F969" t="s">
        <v>744</v>
      </c>
      <c r="G969" s="45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8">
        <v>84</v>
      </c>
      <c r="R969">
        <v>3200</v>
      </c>
      <c r="S969">
        <v>160</v>
      </c>
      <c r="T969" s="25">
        <v>275</v>
      </c>
      <c r="U969" s="25">
        <f>IFERROR(PROPERTIES[[#This Row],[TE_STARTING_KN]]/(PROPERTIES[[#This Row],[WEIGHT]]*9.81),0)</f>
        <v>0.33372166399689335</v>
      </c>
      <c r="V969" s="25">
        <v>0</v>
      </c>
      <c r="W969" s="21">
        <f>ROUND(IF(IFERROR(PROPERTIES[[#This Row],[TE_COEFFICIENT_CALC]],0)=0,PROPERTIES[[#This Row],[TE_COEFFICIENT_MANUAL]],PROPERTIES[[#This Row],[TE_COEFFICIENT_CALC]]),3)</f>
        <v>0.33400000000000002</v>
      </c>
      <c r="X969" s="32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1">
        <v>0</v>
      </c>
      <c r="Z969" s="7">
        <v>0</v>
      </c>
      <c r="AA969" t="s">
        <v>245</v>
      </c>
      <c r="AB969" t="s">
        <v>238</v>
      </c>
      <c r="AC969" t="s">
        <v>238</v>
      </c>
      <c r="AD969" s="2" t="s">
        <v>238</v>
      </c>
      <c r="AE969" s="2" t="s">
        <v>253</v>
      </c>
      <c r="AF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69" s="2" t="str">
        <f>SUBSTITUTE(SUBSTITUTE(PROPERTIES[[#This Row],[PURCHASECOST_VALUE]], "PURCHASECOST_", ""), "_VALUE", "")</f>
        <v>DIESELENGINE</v>
      </c>
      <c r="AI969" s="7" t="str" cm="1">
        <f t="array" ref="AI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69" s="43" t="b">
        <v>0</v>
      </c>
      <c r="AK969" s="8" t="b">
        <v>0</v>
      </c>
      <c r="BA969" s="7"/>
      <c r="BB969" s="8"/>
      <c r="BC969" s="9"/>
      <c r="BD969"/>
    </row>
    <row r="970" spans="1:56">
      <c r="A970" s="2" t="s">
        <v>3480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5" t="str">
        <f>_xlfn.XLOOKUP(PROPERTIES[[#This Row],[VEHIDCODE]],CONTROL[VEHIDCODE],CONTROL[ENGLISH])</f>
        <v>Stephenson/BP 2-2-2 LVCI Class 1</v>
      </c>
      <c r="F970" t="s">
        <v>675</v>
      </c>
      <c r="G970" s="45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8">
        <v>27.6</v>
      </c>
      <c r="R970">
        <v>50</v>
      </c>
      <c r="S970">
        <v>35</v>
      </c>
      <c r="T970" s="25">
        <v>26.31</v>
      </c>
      <c r="U970" s="24">
        <f>IFERROR(PROPERTIES[[#This Row],[TE_STARTING_KN]]/(PROPERTIES[[#This Row],[WEIGHT]]*9.81),0)</f>
        <v>9.7172361831316736E-2</v>
      </c>
      <c r="V970" s="24">
        <v>0</v>
      </c>
      <c r="W970" s="21">
        <f>ROUND(IF(IFERROR(PROPERTIES[[#This Row],[TE_COEFFICIENT_CALC]],0)=0,PROPERTIES[[#This Row],[TE_COEFFICIENT_MANUAL]],PROPERTIES[[#This Row],[TE_COEFFICIENT_CALC]]),3)</f>
        <v>9.7000000000000003E-2</v>
      </c>
      <c r="X970" s="9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1">
        <v>0</v>
      </c>
      <c r="Z970" s="7">
        <v>3</v>
      </c>
      <c r="AA970" t="s">
        <v>240</v>
      </c>
      <c r="AB970" t="s">
        <v>238</v>
      </c>
      <c r="AC970" t="s">
        <v>238</v>
      </c>
      <c r="AD970" s="2" t="s">
        <v>238</v>
      </c>
      <c r="AE970" s="2" t="s">
        <v>253</v>
      </c>
      <c r="AF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0" s="2" t="str">
        <f>SUBSTITUTE(SUBSTITUTE(PROPERTIES[[#This Row],[PURCHASECOST_VALUE]], "PURCHASECOST_", ""), "_VALUE", "")</f>
        <v>STEAMENGINE</v>
      </c>
      <c r="AI970" s="7" t="str" cm="1">
        <f t="array" ref="AI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0" s="43" t="b">
        <v>0</v>
      </c>
      <c r="AK970" s="8" t="b">
        <v>0</v>
      </c>
      <c r="BA970" s="7"/>
      <c r="BB970" s="8"/>
      <c r="BC970" s="9"/>
      <c r="BD970"/>
    </row>
    <row r="971" spans="1:56">
      <c r="A971" t="s">
        <v>3481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5" t="str">
        <f>_xlfn.XLOOKUP(PROPERTIES[[#This Row],[VEHIDCODE]],CONTROL[VEHIDCODE],CONTROL[ENGLISH])</f>
        <v>Babcock 4-6-2+2-6-4T '462'</v>
      </c>
      <c r="F971" t="s">
        <v>634</v>
      </c>
      <c r="G971" s="45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8">
        <v>179.5</v>
      </c>
      <c r="R971">
        <v>2350</v>
      </c>
      <c r="S971">
        <v>100</v>
      </c>
      <c r="T971" s="25">
        <v>205</v>
      </c>
      <c r="U971" s="24">
        <f>IFERROR(PROPERTIES[[#This Row],[TE_STARTING_KN]]/(PROPERTIES[[#This Row],[WEIGHT]]*9.81),0)</f>
        <v>0.11641807149205376</v>
      </c>
      <c r="V971" s="24">
        <v>0</v>
      </c>
      <c r="W971" s="21">
        <f>ROUND(IF(IFERROR(PROPERTIES[[#This Row],[TE_COEFFICIENT_CALC]],0)=0,PROPERTIES[[#This Row],[TE_COEFFICIENT_MANUAL]],PROPERTIES[[#This Row],[TE_COEFFICIENT_CALC]]),3)</f>
        <v>0.11600000000000001</v>
      </c>
      <c r="X971" s="9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1">
        <v>0</v>
      </c>
      <c r="Z971" s="7">
        <v>0</v>
      </c>
      <c r="AA971" t="s">
        <v>240</v>
      </c>
      <c r="AB971" t="s">
        <v>238</v>
      </c>
      <c r="AC971" t="s">
        <v>238</v>
      </c>
      <c r="AD971" s="2" t="s">
        <v>238</v>
      </c>
      <c r="AE971" s="2" t="s">
        <v>253</v>
      </c>
      <c r="AF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1" s="2" t="str">
        <f>SUBSTITUTE(SUBSTITUTE(PROPERTIES[[#This Row],[PURCHASECOST_VALUE]], "PURCHASECOST_", ""), "_VALUE", "")</f>
        <v>STEAMENGINE</v>
      </c>
      <c r="AI971" s="7" t="str" cm="1">
        <f t="array" ref="AI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1" s="43" t="b">
        <v>0</v>
      </c>
      <c r="AK971" s="8" t="b">
        <v>0</v>
      </c>
      <c r="BA971" s="7"/>
      <c r="BB971" s="8"/>
      <c r="BC971" s="9"/>
      <c r="BD971"/>
    </row>
    <row r="972" spans="1:56">
      <c r="A972" s="2" t="s">
        <v>3482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5" t="str">
        <f>_xlfn.XLOOKUP(PROPERTIES[[#This Row],[VEHIDCODE]],CONTROL[VEHIDCODE],CONTROL[ENGLISH])</f>
        <v>Koechlin 0-6-0 '030'</v>
      </c>
      <c r="F972" t="s">
        <v>634</v>
      </c>
      <c r="G972" s="45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8">
        <v>63</v>
      </c>
      <c r="R972">
        <v>375</v>
      </c>
      <c r="S972">
        <v>60</v>
      </c>
      <c r="T972" s="25">
        <f>13829*0.0049</f>
        <v>67.762100000000004</v>
      </c>
      <c r="U972" s="24">
        <f>IFERROR(PROPERTIES[[#This Row],[TE_STARTING_KN]]/(PROPERTIES[[#This Row],[WEIGHT]]*9.81),0)</f>
        <v>0.10964208857175217</v>
      </c>
      <c r="V972" s="24">
        <v>0</v>
      </c>
      <c r="W972" s="21">
        <f>ROUND(IF(IFERROR(PROPERTIES[[#This Row],[TE_COEFFICIENT_CALC]],0)=0,PROPERTIES[[#This Row],[TE_COEFFICIENT_MANUAL]],PROPERTIES[[#This Row],[TE_COEFFICIENT_CALC]]),3)</f>
        <v>0.11</v>
      </c>
      <c r="X972" s="9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1">
        <v>0</v>
      </c>
      <c r="Z972" s="7">
        <v>3</v>
      </c>
      <c r="AA972" t="s">
        <v>240</v>
      </c>
      <c r="AB972" t="s">
        <v>238</v>
      </c>
      <c r="AC972" t="s">
        <v>238</v>
      </c>
      <c r="AD972" s="2" t="s">
        <v>238</v>
      </c>
      <c r="AE972" s="2" t="s">
        <v>253</v>
      </c>
      <c r="AF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2" s="2" t="str">
        <f>SUBSTITUTE(SUBSTITUTE(PROPERTIES[[#This Row],[PURCHASECOST_VALUE]], "PURCHASECOST_", ""), "_VALUE", "")</f>
        <v>STEAMENGINE</v>
      </c>
      <c r="AI972" s="7" t="str" cm="1">
        <f t="array" ref="AI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2" s="43" t="b">
        <v>0</v>
      </c>
      <c r="AK972" s="8" t="b">
        <v>0</v>
      </c>
      <c r="BA972" s="7"/>
      <c r="BB972" s="8"/>
      <c r="BC972" s="9"/>
      <c r="BD972"/>
    </row>
    <row r="973" spans="1:56">
      <c r="A973" s="2" t="s">
        <v>3483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5" t="str">
        <f>_xlfn.XLOOKUP(PROPERTIES[[#This Row],[VEHIDCODE]],CONTROL[VEHIDCODE],CONTROL[ENGLISH])</f>
        <v>Hanomag/ALCO 4-8-0 '240'</v>
      </c>
      <c r="F973" t="s">
        <v>634</v>
      </c>
      <c r="G973" s="45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8">
        <v>141</v>
      </c>
      <c r="R973">
        <v>2022</v>
      </c>
      <c r="S973">
        <f>INT(65*1.62)</f>
        <v>105</v>
      </c>
      <c r="T973" s="25">
        <f>30634*0.0049</f>
        <v>150.10659999999999</v>
      </c>
      <c r="U973" s="24">
        <f>IFERROR(PROPERTIES[[#This Row],[TE_STARTING_KN]]/(PROPERTIES[[#This Row],[WEIGHT]]*9.81),0)</f>
        <v>0.10852047049977949</v>
      </c>
      <c r="V973" s="24">
        <v>0</v>
      </c>
      <c r="W973" s="21">
        <f>ROUND(IF(IFERROR(PROPERTIES[[#This Row],[TE_COEFFICIENT_CALC]],0)=0,PROPERTIES[[#This Row],[TE_COEFFICIENT_MANUAL]],PROPERTIES[[#This Row],[TE_COEFFICIENT_CALC]]),3)</f>
        <v>0.109</v>
      </c>
      <c r="X973" s="9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1">
        <v>0</v>
      </c>
      <c r="Z973" s="7">
        <v>4</v>
      </c>
      <c r="AA973" t="s">
        <v>240</v>
      </c>
      <c r="AB973" t="s">
        <v>238</v>
      </c>
      <c r="AC973" t="s">
        <v>238</v>
      </c>
      <c r="AD973" s="2" t="s">
        <v>238</v>
      </c>
      <c r="AE973" s="2" t="s">
        <v>253</v>
      </c>
      <c r="AF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3" s="2" t="str">
        <f>SUBSTITUTE(SUBSTITUTE(PROPERTIES[[#This Row],[PURCHASECOST_VALUE]], "PURCHASECOST_", ""), "_VALUE", "")</f>
        <v>STEAMENGINE</v>
      </c>
      <c r="AI973" s="7" t="str" cm="1">
        <f t="array" ref="AI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3" s="43" t="b">
        <v>0</v>
      </c>
      <c r="AK973" s="8" t="b">
        <v>0</v>
      </c>
      <c r="BA973" s="7"/>
      <c r="BB973" s="8"/>
      <c r="BC973" s="9"/>
      <c r="BD973"/>
    </row>
    <row r="974" spans="1:56">
      <c r="A974" s="2" t="s">
        <v>3484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5" t="str">
        <f>_xlfn.XLOOKUP(PROPERTIES[[#This Row],[VEHIDCODE]],CONTROL[VEHIDCODE],CONTROL[ENGLISH])</f>
        <v>CRRC Sifang SFB-500</v>
      </c>
      <c r="F974" t="s">
        <v>612</v>
      </c>
      <c r="G974" s="45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8">
        <f>207/4</f>
        <v>51.75</v>
      </c>
      <c r="R974">
        <v>7510</v>
      </c>
      <c r="S974">
        <v>180</v>
      </c>
      <c r="T974" s="25">
        <v>120</v>
      </c>
      <c r="U974" s="25">
        <f>IFERROR(PROPERTIES[[#This Row],[TE_STARTING_KN]]/(PROPERTIES[[#This Row],[WEIGHT]]*9.81),0)</f>
        <v>0.23637518651479561</v>
      </c>
      <c r="V974" s="25">
        <v>0</v>
      </c>
      <c r="W974" s="21">
        <f>ROUND(IF(IFERROR(PROPERTIES[[#This Row],[TE_COEFFICIENT_CALC]],0)=0,PROPERTIES[[#This Row],[TE_COEFFICIENT_MANUAL]],PROPERTIES[[#This Row],[TE_COEFFICIENT_CALC]]),3)</f>
        <v>0.23599999999999999</v>
      </c>
      <c r="X974" s="44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1">
        <v>118</v>
      </c>
      <c r="Z974" s="7">
        <v>8</v>
      </c>
      <c r="AA974" t="s">
        <v>246</v>
      </c>
      <c r="AB974" t="s">
        <v>238</v>
      </c>
      <c r="AC974" t="s">
        <v>238</v>
      </c>
      <c r="AD974" s="2" t="s">
        <v>238</v>
      </c>
      <c r="AE974" s="2" t="s">
        <v>253</v>
      </c>
      <c r="AF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4" s="2" t="str">
        <f>SUBSTITUTE(SUBSTITUTE(PROPERTIES[[#This Row],[PURCHASECOST_VALUE]], "PURCHASECOST_", ""), "_VALUE", "")</f>
        <v>EMU</v>
      </c>
      <c r="AI974" s="7" t="str" cm="1">
        <f t="array" ref="AI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4" s="43" t="b">
        <v>0</v>
      </c>
      <c r="AK974" s="8" t="b">
        <v>0</v>
      </c>
      <c r="BA974" s="7"/>
      <c r="BB974" s="8"/>
      <c r="BC974" s="9"/>
      <c r="BD974"/>
    </row>
    <row r="975" spans="1:56">
      <c r="A975" s="2" t="s">
        <v>3485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5" t="str">
        <f>_xlfn.XLOOKUP(PROPERTIES[[#This Row],[VEHIDCODE]],CONTROL[VEHIDCODE],CONTROL[ENGLISH])</f>
        <v>EMC E3</v>
      </c>
      <c r="F975" t="s">
        <v>796</v>
      </c>
      <c r="G975" s="45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8">
        <v>140</v>
      </c>
      <c r="R975">
        <v>2000</v>
      </c>
      <c r="S975">
        <v>187</v>
      </c>
      <c r="T975" s="25">
        <f>56500*0.0049</f>
        <v>276.84999999999997</v>
      </c>
      <c r="U975" s="25">
        <f>IFERROR(PROPERTIES[[#This Row],[TE_STARTING_KN]]/(PROPERTIES[[#This Row],[WEIGHT]]*9.81),0)</f>
        <v>0.20158002038735981</v>
      </c>
      <c r="V975" s="25">
        <v>0</v>
      </c>
      <c r="W975" s="21">
        <f>ROUND(IF(IFERROR(PROPERTIES[[#This Row],[TE_COEFFICIENT_CALC]],0)=0,PROPERTIES[[#This Row],[TE_COEFFICIENT_MANUAL]],PROPERTIES[[#This Row],[TE_COEFFICIENT_CALC]]),3)</f>
        <v>0.20200000000000001</v>
      </c>
      <c r="X975" s="44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1">
        <v>0</v>
      </c>
      <c r="Z975" s="7">
        <v>8</v>
      </c>
      <c r="AA975" t="s">
        <v>244</v>
      </c>
      <c r="AB975" t="s">
        <v>238</v>
      </c>
      <c r="AC975" t="s">
        <v>238</v>
      </c>
      <c r="AD975" s="2" t="s">
        <v>238</v>
      </c>
      <c r="AE975" s="2" t="s">
        <v>253</v>
      </c>
      <c r="AF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5" s="2" t="str">
        <f>SUBSTITUTE(SUBSTITUTE(PROPERTIES[[#This Row],[PURCHASECOST_VALUE]], "PURCHASECOST_", ""), "_VALUE", "")</f>
        <v>DIESELENGINE</v>
      </c>
      <c r="AI975" s="7" t="str" cm="1">
        <f t="array" ref="AI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75" s="43" t="b">
        <v>0</v>
      </c>
      <c r="AK975" s="8" t="b">
        <v>0</v>
      </c>
      <c r="BA975" s="7"/>
      <c r="BB975" s="8"/>
      <c r="BC975" s="9"/>
      <c r="BD975"/>
    </row>
    <row r="976" spans="1:56">
      <c r="A976" s="2" t="s">
        <v>3486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5" t="str">
        <f>_xlfn.XLOOKUP(PROPERTIES[[#This Row],[VEHIDCODE]],CONTROL[VEHIDCODE],CONTROL[ENGLISH])</f>
        <v>EMD FT</v>
      </c>
      <c r="F976" t="s">
        <v>796</v>
      </c>
      <c r="G976" s="45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8">
        <f>104+99</f>
        <v>203</v>
      </c>
      <c r="R976">
        <v>2700</v>
      </c>
      <c r="S976">
        <v>153</v>
      </c>
      <c r="T976" s="25">
        <v>245</v>
      </c>
      <c r="U976" s="25">
        <f>IFERROR(PROPERTIES[[#This Row],[TE_STARTING_KN]]/(PROPERTIES[[#This Row],[WEIGHT]]*9.81),0)</f>
        <v>0.12302717142957573</v>
      </c>
      <c r="V976" s="25">
        <v>0</v>
      </c>
      <c r="W976" s="21">
        <f>ROUND(IF(IFERROR(PROPERTIES[[#This Row],[TE_COEFFICIENT_CALC]],0)=0,PROPERTIES[[#This Row],[TE_COEFFICIENT_MANUAL]],PROPERTIES[[#This Row],[TE_COEFFICIENT_CALC]]),3)</f>
        <v>0.123</v>
      </c>
      <c r="X976" s="44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1">
        <v>0</v>
      </c>
      <c r="Z976" s="7">
        <v>6</v>
      </c>
      <c r="AA976" t="s">
        <v>244</v>
      </c>
      <c r="AB976" t="s">
        <v>238</v>
      </c>
      <c r="AC976" t="s">
        <v>238</v>
      </c>
      <c r="AD976" s="2" t="s">
        <v>238</v>
      </c>
      <c r="AE976" s="2" t="s">
        <v>253</v>
      </c>
      <c r="AF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6" s="2" t="str">
        <f>SUBSTITUTE(SUBSTITUTE(PROPERTIES[[#This Row],[PURCHASECOST_VALUE]], "PURCHASECOST_", ""), "_VALUE", "")</f>
        <v>DIESELENGINE</v>
      </c>
      <c r="AI976" s="7" t="str" cm="1">
        <f t="array" ref="AI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6" s="43" t="b">
        <v>0</v>
      </c>
      <c r="AK976" s="8" t="b">
        <v>0</v>
      </c>
      <c r="BA976" s="7"/>
      <c r="BB976" s="8"/>
      <c r="BC976" s="9"/>
      <c r="BD976"/>
    </row>
    <row r="977" spans="1:56">
      <c r="A977" s="2" t="s">
        <v>3487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5" t="str">
        <f>_xlfn.XLOOKUP(PROPERTIES[[#This Row],[VEHIDCODE]],CONTROL[VEHIDCODE],CONTROL[ENGLISH])</f>
        <v>LTZ TE109</v>
      </c>
      <c r="F977" t="s">
        <v>623</v>
      </c>
      <c r="G977" s="45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8">
        <v>140</v>
      </c>
      <c r="R977">
        <f>INT(2206*1.341)</f>
        <v>2958</v>
      </c>
      <c r="S977">
        <v>120</v>
      </c>
      <c r="T977" s="25">
        <v>265</v>
      </c>
      <c r="U977" s="24">
        <f>IFERROR(PROPERTIES[[#This Row],[TE_STARTING_KN]]/(PROPERTIES[[#This Row],[WEIGHT]]*9.81),0)</f>
        <v>0.1929517984563856</v>
      </c>
      <c r="V977" s="24">
        <v>0</v>
      </c>
      <c r="W977" s="21">
        <f>ROUND(IF(IFERROR(PROPERTIES[[#This Row],[TE_COEFFICIENT_CALC]],0)=0,PROPERTIES[[#This Row],[TE_COEFFICIENT_MANUAL]],PROPERTIES[[#This Row],[TE_COEFFICIENT_CALC]]),3)</f>
        <v>0.193</v>
      </c>
      <c r="X977" s="9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1">
        <v>0</v>
      </c>
      <c r="Z977" s="7">
        <v>0</v>
      </c>
      <c r="AA977" t="s">
        <v>239</v>
      </c>
      <c r="AB977" t="s">
        <v>2013</v>
      </c>
      <c r="AC977" t="s">
        <v>238</v>
      </c>
      <c r="AD977" s="2" t="s">
        <v>238</v>
      </c>
      <c r="AE977" s="2" t="s">
        <v>253</v>
      </c>
      <c r="AF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7" s="2" t="str">
        <f>SUBSTITUTE(SUBSTITUTE(PROPERTIES[[#This Row],[PURCHASECOST_VALUE]], "PURCHASECOST_", ""), "_VALUE", "")</f>
        <v>DIESELENGINE</v>
      </c>
      <c r="AI977" s="7" t="str" cm="1">
        <f t="array" ref="AI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7" s="43" t="b">
        <v>0</v>
      </c>
      <c r="AK977" s="8" t="b">
        <v>0</v>
      </c>
      <c r="BA977" s="7"/>
      <c r="BB977" s="8"/>
      <c r="BC977" s="9"/>
      <c r="BD977"/>
    </row>
    <row r="978" spans="1:56">
      <c r="A978" s="2" t="s">
        <v>3488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5" t="str">
        <f>_xlfn.XLOOKUP(PROPERTIES[[#This Row],[VEHIDCODE]],CONTROL[VEHIDCODE],CONTROL[ENGLISH])</f>
        <v>Hitachi/Kawasaki Shinkansen Series 100</v>
      </c>
      <c r="F978" t="s">
        <v>679</v>
      </c>
      <c r="G978" s="45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8">
        <v>53</v>
      </c>
      <c r="R978">
        <f>INT(992*2*1.2)</f>
        <v>2380</v>
      </c>
      <c r="S978">
        <v>210</v>
      </c>
      <c r="T978" s="25">
        <v>0</v>
      </c>
      <c r="U978" s="24">
        <f>IFERROR(PROPERTIES[[#This Row],[TE_STARTING_KN]]/(PROPERTIES[[#This Row],[WEIGHT]]*9.81),0)</f>
        <v>0</v>
      </c>
      <c r="V978" s="24">
        <v>0.3</v>
      </c>
      <c r="W978" s="21">
        <f>ROUND(IF(IFERROR(PROPERTIES[[#This Row],[TE_COEFFICIENT_CALC]],0)=0,PROPERTIES[[#This Row],[TE_COEFFICIENT_MANUAL]],PROPERTIES[[#This Row],[TE_COEFFICIENT_CALC]]),3)</f>
        <v>0.3</v>
      </c>
      <c r="X978" s="9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1">
        <v>100</v>
      </c>
      <c r="Z978" s="7">
        <v>8</v>
      </c>
      <c r="AA978" t="s">
        <v>247</v>
      </c>
      <c r="AB978" t="s">
        <v>238</v>
      </c>
      <c r="AC978" t="s">
        <v>238</v>
      </c>
      <c r="AD978" s="2" t="s">
        <v>238</v>
      </c>
      <c r="AE978" s="2" t="s">
        <v>253</v>
      </c>
      <c r="AF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8" s="2" t="str">
        <f>SUBSTITUTE(SUBSTITUTE(PROPERTIES[[#This Row],[PURCHASECOST_VALUE]], "PURCHASECOST_", ""), "_VALUE", "")</f>
        <v>EMU</v>
      </c>
      <c r="AI978" s="7" t="str" cm="1">
        <f t="array" ref="AI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8" s="43" t="b">
        <v>0</v>
      </c>
      <c r="AK978" s="8" t="b">
        <v>0</v>
      </c>
      <c r="BA978" s="7"/>
      <c r="BB978" s="8"/>
      <c r="BC978" s="9"/>
      <c r="BD978"/>
    </row>
    <row r="979" spans="1:56">
      <c r="A979" s="2" t="s">
        <v>3489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5" t="str">
        <f>_xlfn.XLOOKUP(PROPERTIES[[#This Row],[VEHIDCODE]],CONTROL[VEHIDCODE],CONTROL[ENGLISH])</f>
        <v>Krauss-Maffei ML 2200</v>
      </c>
      <c r="F979" t="s">
        <v>815</v>
      </c>
      <c r="G979" s="45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8">
        <v>96</v>
      </c>
      <c r="R979">
        <v>2400</v>
      </c>
      <c r="S979">
        <v>120</v>
      </c>
      <c r="T979" s="25">
        <v>336</v>
      </c>
      <c r="U979" s="25">
        <f>IFERROR(PROPERTIES[[#This Row],[TE_STARTING_KN]]/(PROPERTIES[[#This Row],[WEIGHT]]*9.81),0)</f>
        <v>0.3567787971457696</v>
      </c>
      <c r="V979" s="25">
        <v>0</v>
      </c>
      <c r="W979" s="21">
        <f>ROUND(IF(IFERROR(PROPERTIES[[#This Row],[TE_COEFFICIENT_CALC]],0)=0,PROPERTIES[[#This Row],[TE_COEFFICIENT_MANUAL]],PROPERTIES[[#This Row],[TE_COEFFICIENT_CALC]]),3)</f>
        <v>0.35699999999999998</v>
      </c>
      <c r="X979" s="44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1">
        <v>0</v>
      </c>
      <c r="Z979" s="7">
        <v>0</v>
      </c>
      <c r="AA979" t="s">
        <v>245</v>
      </c>
      <c r="AB979" t="s">
        <v>238</v>
      </c>
      <c r="AC979" t="s">
        <v>238</v>
      </c>
      <c r="AD979" s="2" t="s">
        <v>238</v>
      </c>
      <c r="AE979" s="2" t="s">
        <v>253</v>
      </c>
      <c r="AF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9" s="2" t="str">
        <f>SUBSTITUTE(SUBSTITUTE(PROPERTIES[[#This Row],[PURCHASECOST_VALUE]], "PURCHASECOST_", ""), "_VALUE", "")</f>
        <v>DIESELENGINE</v>
      </c>
      <c r="AI979" s="7" t="str" cm="1">
        <f t="array" ref="AI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9" s="43" t="b">
        <v>0</v>
      </c>
      <c r="AK979" s="8" t="b">
        <v>0</v>
      </c>
      <c r="BA979" s="7"/>
      <c r="BB979" s="8"/>
      <c r="BC979" s="9"/>
      <c r="BD979"/>
    </row>
    <row r="980" spans="1:56">
      <c r="A980" s="2" t="s">
        <v>3490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5" t="str">
        <f>_xlfn.XLOOKUP(PROPERTIES[[#This Row],[VEHIDCODE]],CONTROL[VEHIDCODE],CONTROL[ENGLISH])</f>
        <v>Ganz 'Hargita' M440</v>
      </c>
      <c r="F980" t="s">
        <v>665</v>
      </c>
      <c r="G980" s="45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8">
        <v>53.25</v>
      </c>
      <c r="R980">
        <f>2*450</f>
        <v>900</v>
      </c>
      <c r="S980">
        <v>120</v>
      </c>
      <c r="T980" s="25">
        <v>38</v>
      </c>
      <c r="U980" s="24">
        <f>IFERROR(PROPERTIES[[#This Row],[TE_STARTING_KN]]/(PROPERTIES[[#This Row],[WEIGHT]]*9.81),0)</f>
        <v>7.2743631342933573E-2</v>
      </c>
      <c r="V980" s="24">
        <v>0</v>
      </c>
      <c r="W980" s="21">
        <f>ROUND(IF(IFERROR(PROPERTIES[[#This Row],[TE_COEFFICIENT_CALC]],0)=0,PROPERTIES[[#This Row],[TE_COEFFICIENT_MANUAL]],PROPERTIES[[#This Row],[TE_COEFFICIENT_CALC]]),3)</f>
        <v>7.2999999999999995E-2</v>
      </c>
      <c r="X980" s="9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1">
        <v>54</v>
      </c>
      <c r="Z980" s="7">
        <v>8</v>
      </c>
      <c r="AA980" t="s">
        <v>245</v>
      </c>
      <c r="AB980" t="s">
        <v>239</v>
      </c>
      <c r="AC980" t="s">
        <v>238</v>
      </c>
      <c r="AD980" s="2" t="s">
        <v>238</v>
      </c>
      <c r="AE980" s="2" t="s">
        <v>253</v>
      </c>
      <c r="AF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0" s="2" t="str">
        <f>SUBSTITUTE(SUBSTITUTE(PROPERTIES[[#This Row],[PURCHASECOST_VALUE]], "PURCHASECOST_", ""), "_VALUE", "")</f>
        <v>DMU</v>
      </c>
      <c r="AI980" s="7" t="str" cm="1">
        <f t="array" ref="AI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0" s="43" t="b">
        <v>0</v>
      </c>
      <c r="AK980" s="8" t="b">
        <v>0</v>
      </c>
      <c r="BA980" s="7"/>
      <c r="BB980" s="8"/>
      <c r="BC980" s="9"/>
      <c r="BD980"/>
    </row>
    <row r="981" spans="1:56">
      <c r="A981" s="2" t="s">
        <v>3491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5" t="str">
        <f>_xlfn.XLOOKUP(PROPERTIES[[#This Row],[VEHIDCODE]],CONTROL[VEHIDCODE],CONTROL[ENGLISH])</f>
        <v>SSW/Krauss E44</v>
      </c>
      <c r="F981" t="s">
        <v>623</v>
      </c>
      <c r="G981" s="45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8">
        <v>78</v>
      </c>
      <c r="R981">
        <f>INT(2200*1.341)</f>
        <v>2950</v>
      </c>
      <c r="S981">
        <v>90</v>
      </c>
      <c r="T981" s="25">
        <v>196</v>
      </c>
      <c r="U981" s="24">
        <f>IFERROR(PROPERTIES[[#This Row],[TE_STARTING_KN]]/(PROPERTIES[[#This Row],[WEIGHT]]*9.81),0)</f>
        <v>0.25614888000209102</v>
      </c>
      <c r="V981" s="24">
        <v>0</v>
      </c>
      <c r="W981" s="21">
        <f>ROUND(IF(IFERROR(PROPERTIES[[#This Row],[TE_COEFFICIENT_CALC]],0)=0,PROPERTIES[[#This Row],[TE_COEFFICIENT_MANUAL]],PROPERTIES[[#This Row],[TE_COEFFICIENT_CALC]]),3)</f>
        <v>0.25600000000000001</v>
      </c>
      <c r="X981" s="9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1">
        <v>0</v>
      </c>
      <c r="Z981" s="7">
        <v>0</v>
      </c>
      <c r="AA981" t="s">
        <v>239</v>
      </c>
      <c r="AB981" t="s">
        <v>238</v>
      </c>
      <c r="AC981" t="s">
        <v>238</v>
      </c>
      <c r="AD981" s="2" t="s">
        <v>238</v>
      </c>
      <c r="AE981" s="2" t="s">
        <v>253</v>
      </c>
      <c r="AF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1" s="2" t="str">
        <f>SUBSTITUTE(SUBSTITUTE(PROPERTIES[[#This Row],[PURCHASECOST_VALUE]], "PURCHASECOST_", ""), "_VALUE", "")</f>
        <v>ELECTRICENGINE</v>
      </c>
      <c r="AI981" s="7" t="str" cm="1">
        <f t="array" ref="AI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1" s="43" t="b">
        <v>0</v>
      </c>
      <c r="AK981" s="8" t="b">
        <v>0</v>
      </c>
      <c r="BA981" s="7"/>
      <c r="BB981" s="8"/>
      <c r="BC981" s="9"/>
      <c r="BD981"/>
    </row>
    <row r="982" spans="1:56">
      <c r="A982" s="2" t="s">
        <v>3492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5" t="str">
        <f>_xlfn.XLOOKUP(PROPERTIES[[#This Row],[VEHIDCODE]],CONTROL[VEHIDCODE],CONTROL[ENGLISH])</f>
        <v>PESA 111MS</v>
      </c>
      <c r="F982" t="s">
        <v>744</v>
      </c>
      <c r="G982" s="45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8">
        <v>82</v>
      </c>
      <c r="R982">
        <f>INT(6400*1.341)</f>
        <v>8582</v>
      </c>
      <c r="S982">
        <v>200</v>
      </c>
      <c r="T982" s="25">
        <v>275</v>
      </c>
      <c r="U982" s="25">
        <f>IFERROR(PROPERTIES[[#This Row],[TE_STARTING_KN]]/(PROPERTIES[[#This Row],[WEIGHT]]*9.81),0)</f>
        <v>0.34186121677730535</v>
      </c>
      <c r="V982" s="25">
        <v>0</v>
      </c>
      <c r="W982" s="21">
        <f>ROUND(IF(IFERROR(PROPERTIES[[#This Row],[TE_COEFFICIENT_CALC]],0)=0,PROPERTIES[[#This Row],[TE_COEFFICIENT_MANUAL]],PROPERTIES[[#This Row],[TE_COEFFICIENT_CALC]]),3)</f>
        <v>0.34200000000000003</v>
      </c>
      <c r="X982" s="44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1">
        <v>0</v>
      </c>
      <c r="Z982" s="7">
        <v>0</v>
      </c>
      <c r="AA982" t="s">
        <v>245</v>
      </c>
      <c r="AB982" t="s">
        <v>238</v>
      </c>
      <c r="AC982" t="s">
        <v>238</v>
      </c>
      <c r="AD982" s="2" t="s">
        <v>238</v>
      </c>
      <c r="AE982" s="2" t="s">
        <v>253</v>
      </c>
      <c r="AF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2" s="2" t="str">
        <f>SUBSTITUTE(SUBSTITUTE(PROPERTIES[[#This Row],[PURCHASECOST_VALUE]], "PURCHASECOST_", ""), "_VALUE", "")</f>
        <v>ELECTRICENGINE</v>
      </c>
      <c r="AI982" s="7" t="str" cm="1">
        <f t="array" ref="AI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82" s="43" t="b">
        <v>0</v>
      </c>
      <c r="AK982" s="8" t="b">
        <v>0</v>
      </c>
      <c r="BA982" s="7"/>
      <c r="BB982" s="8"/>
      <c r="BC982" s="9"/>
      <c r="BD982"/>
    </row>
    <row r="983" spans="1:56">
      <c r="A983" s="2" t="s">
        <v>3493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5" t="str">
        <f>_xlfn.XLOOKUP(PROPERTIES[[#This Row],[VEHIDCODE]],CONTROL[VEHIDCODE],CONTROL[ENGLISH])</f>
        <v>Kolomna VL19</v>
      </c>
      <c r="F983" t="s">
        <v>755</v>
      </c>
      <c r="G983" s="45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8">
        <v>114</v>
      </c>
      <c r="R983">
        <f>6*460</f>
        <v>2760</v>
      </c>
      <c r="S983">
        <v>85</v>
      </c>
      <c r="T983" s="25">
        <v>200</v>
      </c>
      <c r="U983" s="25">
        <f>IFERROR(PROPERTIES[[#This Row],[TE_STARTING_KN]]/(PROPERTIES[[#This Row],[WEIGHT]]*9.81),0)</f>
        <v>0.17883648979737823</v>
      </c>
      <c r="V983" s="25">
        <v>0</v>
      </c>
      <c r="W983" s="21">
        <f>ROUND(IF(IFERROR(PROPERTIES[[#This Row],[TE_COEFFICIENT_CALC]],0)=0,PROPERTIES[[#This Row],[TE_COEFFICIENT_MANUAL]],PROPERTIES[[#This Row],[TE_COEFFICIENT_CALC]]),3)</f>
        <v>0.17899999999999999</v>
      </c>
      <c r="X983" s="44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1">
        <v>0</v>
      </c>
      <c r="Z983" s="7">
        <v>0</v>
      </c>
      <c r="AA983" t="s">
        <v>2013</v>
      </c>
      <c r="AB983" t="s">
        <v>238</v>
      </c>
      <c r="AC983" t="s">
        <v>238</v>
      </c>
      <c r="AD983" s="2" t="s">
        <v>238</v>
      </c>
      <c r="AE983" s="2" t="s">
        <v>253</v>
      </c>
      <c r="AF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3" s="2" t="str">
        <f>SUBSTITUTE(SUBSTITUTE(PROPERTIES[[#This Row],[PURCHASECOST_VALUE]], "PURCHASECOST_", ""), "_VALUE", "")</f>
        <v>ELECTRICENGINE</v>
      </c>
      <c r="AI983" s="7" t="str" cm="1">
        <f t="array" ref="AI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3" s="43" t="b">
        <v>0</v>
      </c>
      <c r="AK983" s="8" t="b">
        <v>0</v>
      </c>
      <c r="BA983" s="7"/>
      <c r="BB983" s="8"/>
      <c r="BC983" s="9"/>
      <c r="BD983"/>
    </row>
    <row r="984" spans="1:56">
      <c r="A984" s="2" t="s">
        <v>3494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5" t="str">
        <f>_xlfn.XLOOKUP(PROPERTIES[[#This Row],[VEHIDCODE]],CONTROL[VEHIDCODE],CONTROL[ENGLISH])</f>
        <v>AEG/Krupp E18</v>
      </c>
      <c r="F984" t="s">
        <v>623</v>
      </c>
      <c r="G984" s="45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8">
        <v>108.5</v>
      </c>
      <c r="R984">
        <v>3810</v>
      </c>
      <c r="S984">
        <v>150</v>
      </c>
      <c r="T984" s="25">
        <v>206</v>
      </c>
      <c r="U984" s="25">
        <f>IFERROR(PROPERTIES[[#This Row],[TE_STARTING_KN]]/(PROPERTIES[[#This Row],[WEIGHT]]*9.81),0)</f>
        <v>0.19353899200007516</v>
      </c>
      <c r="V984" s="25">
        <v>0</v>
      </c>
      <c r="W984" s="21">
        <f>ROUND(IF(IFERROR(PROPERTIES[[#This Row],[TE_COEFFICIENT_CALC]],0)=0,PROPERTIES[[#This Row],[TE_COEFFICIENT_MANUAL]],PROPERTIES[[#This Row],[TE_COEFFICIENT_CALC]]),3)</f>
        <v>0.19400000000000001</v>
      </c>
      <c r="X984" s="44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1">
        <v>0</v>
      </c>
      <c r="Z984" s="7">
        <v>0</v>
      </c>
      <c r="AA984" t="s">
        <v>239</v>
      </c>
      <c r="AB984" t="s">
        <v>238</v>
      </c>
      <c r="AC984" t="s">
        <v>238</v>
      </c>
      <c r="AD984" s="2" t="s">
        <v>238</v>
      </c>
      <c r="AE984" s="2" t="s">
        <v>253</v>
      </c>
      <c r="AF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4" s="2" t="str">
        <f>SUBSTITUTE(SUBSTITUTE(PROPERTIES[[#This Row],[PURCHASECOST_VALUE]], "PURCHASECOST_", ""), "_VALUE", "")</f>
        <v>ELECTRICENGINE</v>
      </c>
      <c r="AI984" s="7" t="str" cm="1">
        <f t="array" ref="AI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4" s="43" t="b">
        <v>0</v>
      </c>
      <c r="AK984" s="8" t="b">
        <v>0</v>
      </c>
      <c r="BA984" s="7"/>
      <c r="BB984" s="8"/>
      <c r="BC984" s="9"/>
      <c r="BD984"/>
    </row>
    <row r="985" spans="1:56">
      <c r="A985" s="2" t="s">
        <v>3495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5" t="str">
        <f>_xlfn.XLOOKUP(PROPERTIES[[#This Row],[VEHIDCODE]],CONTROL[VEHIDCODE],CONTROL[ENGLISH])</f>
        <v>Hitachi-Alstom Zefiro Class 895 'HS2'</v>
      </c>
      <c r="F985" t="s">
        <v>642</v>
      </c>
      <c r="G985" s="45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8">
        <f>500/8</f>
        <v>62.5</v>
      </c>
      <c r="R985">
        <v>13400</v>
      </c>
      <c r="S985">
        <v>360</v>
      </c>
      <c r="T985" s="25">
        <f>370/2</f>
        <v>185</v>
      </c>
      <c r="U985" s="25">
        <f>IFERROR(PROPERTIES[[#This Row],[TE_STARTING_KN]]/(PROPERTIES[[#This Row],[WEIGHT]]*9.81),0)</f>
        <v>0.30173292558613657</v>
      </c>
      <c r="V985" s="25">
        <v>0</v>
      </c>
      <c r="W985" s="21">
        <f>ROUND(IF(IFERROR(PROPERTIES[[#This Row],[TE_COEFFICIENT_CALC]],0)=0,PROPERTIES[[#This Row],[TE_COEFFICIENT_MANUAL]],PROPERTIES[[#This Row],[TE_COEFFICIENT_CALC]]),3)</f>
        <v>0.30199999999999999</v>
      </c>
      <c r="X985" s="44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1">
        <f>300/4</f>
        <v>75</v>
      </c>
      <c r="Z985" s="7">
        <v>8</v>
      </c>
      <c r="AA985" t="s">
        <v>243</v>
      </c>
      <c r="AB985" t="s">
        <v>238</v>
      </c>
      <c r="AC985" t="s">
        <v>238</v>
      </c>
      <c r="AD985" s="2" t="s">
        <v>238</v>
      </c>
      <c r="AE985" s="2" t="s">
        <v>253</v>
      </c>
      <c r="AF985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85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85" s="2" t="str">
        <f>SUBSTITUTE(SUBSTITUTE(PROPERTIES[[#This Row],[PURCHASECOST_VALUE]], "PURCHASECOST_", ""), "_VALUE", "")</f>
        <v>EMU</v>
      </c>
      <c r="AI985" s="7" t="str" cm="1">
        <f t="array" ref="AI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85" s="43" t="b">
        <v>0</v>
      </c>
      <c r="AK985" s="8" t="b">
        <v>0</v>
      </c>
      <c r="BA985" s="7"/>
      <c r="BB985" s="8"/>
      <c r="BC985" s="9"/>
      <c r="BD985"/>
    </row>
    <row r="986" spans="1:56">
      <c r="A986" s="2" t="s">
        <v>3496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5" t="str">
        <f>_xlfn.XLOOKUP(PROPERTIES[[#This Row],[VEHIDCODE]],CONTROL[VEHIDCODE],CONTROL[ENGLISH])</f>
        <v>EMD JT22CW</v>
      </c>
      <c r="F986" t="s">
        <v>796</v>
      </c>
      <c r="G986" s="45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8">
        <v>100</v>
      </c>
      <c r="R986">
        <v>2450</v>
      </c>
      <c r="S986">
        <v>145</v>
      </c>
      <c r="T986" s="25">
        <v>289</v>
      </c>
      <c r="U986" s="25">
        <f>IFERROR(PROPERTIES[[#This Row],[TE_STARTING_KN]]/(PROPERTIES[[#This Row],[WEIGHT]]*9.81),0)</f>
        <v>0.29459734964322121</v>
      </c>
      <c r="V986" s="25">
        <v>0</v>
      </c>
      <c r="W986" s="21">
        <f>ROUND(IF(IFERROR(PROPERTIES[[#This Row],[TE_COEFFICIENT_CALC]],0)=0,PROPERTIES[[#This Row],[TE_COEFFICIENT_MANUAL]],PROPERTIES[[#This Row],[TE_COEFFICIENT_CALC]]),3)</f>
        <v>0.29499999999999998</v>
      </c>
      <c r="X986" s="44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1">
        <v>0</v>
      </c>
      <c r="Z986" s="7">
        <v>0</v>
      </c>
      <c r="AA986" t="s">
        <v>243</v>
      </c>
      <c r="AB986" t="s">
        <v>245</v>
      </c>
      <c r="AC986" t="s">
        <v>238</v>
      </c>
      <c r="AD986" s="2" t="s">
        <v>238</v>
      </c>
      <c r="AE986" s="2" t="s">
        <v>253</v>
      </c>
      <c r="AF98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8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86" s="2" t="str">
        <f>SUBSTITUTE(SUBSTITUTE(PROPERTIES[[#This Row],[PURCHASECOST_VALUE]], "PURCHASECOST_", ""), "_VALUE", "")</f>
        <v>DIESELENGINE</v>
      </c>
      <c r="AI986" s="7" t="str" cm="1">
        <f t="array" ref="AI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86" s="43" t="b">
        <v>0</v>
      </c>
      <c r="AK986" s="8" t="b">
        <v>0</v>
      </c>
      <c r="BA986" s="7"/>
      <c r="BB986" s="8"/>
      <c r="BC986" s="9"/>
      <c r="BD986"/>
    </row>
    <row r="987" spans="1:56">
      <c r="A987" s="2" t="s">
        <v>3497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5" t="str">
        <f>_xlfn.XLOOKUP(PROPERTIES[[#This Row],[VEHIDCODE]],CONTROL[VEHIDCODE],CONTROL[ENGLISH])</f>
        <v>RVR DR1A</v>
      </c>
      <c r="F987" t="s">
        <v>698</v>
      </c>
      <c r="G987" s="45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8">
        <v>90</v>
      </c>
      <c r="R987">
        <v>2000</v>
      </c>
      <c r="S987">
        <v>120</v>
      </c>
      <c r="T987" s="25">
        <v>0</v>
      </c>
      <c r="U987" s="25">
        <f>IFERROR(PROPERTIES[[#This Row],[TE_STARTING_KN]]/(PROPERTIES[[#This Row],[WEIGHT]]*9.81),0)</f>
        <v>0</v>
      </c>
      <c r="V987" s="25">
        <v>0.2</v>
      </c>
      <c r="W987" s="21">
        <f>ROUND(IF(IFERROR(PROPERTIES[[#This Row],[TE_COEFFICIENT_CALC]],0)=0,PROPERTIES[[#This Row],[TE_COEFFICIENT_MANUAL]],PROPERTIES[[#This Row],[TE_COEFFICIENT_CALC]]),3)</f>
        <v>0.2</v>
      </c>
      <c r="X987" s="44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7">
        <v>8</v>
      </c>
      <c r="AA987" t="s">
        <v>2016</v>
      </c>
      <c r="AB987" t="s">
        <v>238</v>
      </c>
      <c r="AC987" t="s">
        <v>238</v>
      </c>
      <c r="AD987" s="2" t="s">
        <v>238</v>
      </c>
      <c r="AE987" s="2" t="s">
        <v>253</v>
      </c>
      <c r="AF987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7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7" s="2" t="str">
        <f>SUBSTITUTE(SUBSTITUTE(PROPERTIES[[#This Row],[PURCHASECOST_VALUE]], "PURCHASECOST_", ""), "_VALUE", "")</f>
        <v>DMU</v>
      </c>
      <c r="AI987" s="7" t="str" cm="1">
        <f t="array" ref="AI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7" s="43" t="b">
        <v>0</v>
      </c>
      <c r="AK987" s="8" t="b">
        <v>0</v>
      </c>
      <c r="BA987" s="7"/>
      <c r="BB987" s="8"/>
      <c r="BC987" s="9"/>
      <c r="BD987"/>
    </row>
    <row r="988" spans="1:56">
      <c r="A988" s="2" t="s">
        <v>3498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5" t="str">
        <f>_xlfn.XLOOKUP(PROPERTIES[[#This Row],[VEHIDCODE]],CONTROL[VEHIDCODE],CONTROL[ENGLISH])</f>
        <v>ACME Corp. HS001</v>
      </c>
      <c r="F988" t="s">
        <v>731</v>
      </c>
      <c r="G988" s="45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8">
        <v>100</v>
      </c>
      <c r="R988">
        <v>10000</v>
      </c>
      <c r="S988">
        <v>300</v>
      </c>
      <c r="T988" s="25">
        <v>0</v>
      </c>
      <c r="U988" s="25">
        <f>IFERROR(PROPERTIES[[#This Row],[TE_STARTING_KN]]/(PROPERTIES[[#This Row],[WEIGHT]]*9.81),0)</f>
        <v>0</v>
      </c>
      <c r="V988" s="25">
        <v>0.38700000000000001</v>
      </c>
      <c r="W988" s="21">
        <f>ROUND(IF(IFERROR(PROPERTIES[[#This Row],[TE_COEFFICIENT_CALC]],0)=0,PROPERTIES[[#This Row],[TE_COEFFICIENT_MANUAL]],PROPERTIES[[#This Row],[TE_COEFFICIENT_CALC]]),3)</f>
        <v>0.38700000000000001</v>
      </c>
      <c r="X988" s="44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1">
        <v>0</v>
      </c>
      <c r="Z988" s="7">
        <v>0</v>
      </c>
      <c r="AA988" t="s">
        <v>239</v>
      </c>
      <c r="AB988" t="s">
        <v>238</v>
      </c>
      <c r="AC988" t="s">
        <v>238</v>
      </c>
      <c r="AD988" s="2" t="s">
        <v>238</v>
      </c>
      <c r="AE988" s="2" t="s">
        <v>254</v>
      </c>
      <c r="AF988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8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8" s="2" t="str">
        <f>SUBSTITUTE(SUBSTITUTE(PROPERTIES[[#This Row],[PURCHASECOST_VALUE]], "PURCHASECOST_", ""), "_VALUE", "")</f>
        <v>ELECTRICENGINE</v>
      </c>
      <c r="AI988" s="7" t="str" cm="1">
        <f t="array" ref="AI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8" s="43" t="b">
        <v>0</v>
      </c>
      <c r="AK988" s="8" t="b">
        <v>0</v>
      </c>
      <c r="BA988" s="7"/>
      <c r="BB988" s="8"/>
      <c r="BC988" s="9"/>
      <c r="BD988"/>
    </row>
    <row r="989" spans="1:56">
      <c r="A989" s="2" t="s">
        <v>3499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5" t="str">
        <f>_xlfn.XLOOKUP(PROPERTIES[[#This Row],[VEHIDCODE]],CONTROL[VEHIDCODE],CONTROL[ENGLISH])</f>
        <v>ACME Corp. HS002</v>
      </c>
      <c r="F989" t="s">
        <v>731</v>
      </c>
      <c r="G989" s="45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8">
        <v>200</v>
      </c>
      <c r="R989">
        <v>18000</v>
      </c>
      <c r="S989">
        <v>320</v>
      </c>
      <c r="T989" s="25">
        <v>0</v>
      </c>
      <c r="U989" s="25">
        <f>IFERROR(PROPERTIES[[#This Row],[TE_STARTING_KN]]/(PROPERTIES[[#This Row],[WEIGHT]]*9.81),0)</f>
        <v>0</v>
      </c>
      <c r="V989" s="25">
        <v>0.45800000000000002</v>
      </c>
      <c r="W989" s="21">
        <f>ROUND(IF(IFERROR(PROPERTIES[[#This Row],[TE_COEFFICIENT_CALC]],0)=0,PROPERTIES[[#This Row],[TE_COEFFICIENT_MANUAL]],PROPERTIES[[#This Row],[TE_COEFFICIENT_CALC]]),3)</f>
        <v>0.45800000000000002</v>
      </c>
      <c r="X989" s="44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1">
        <v>0</v>
      </c>
      <c r="Z989" s="7">
        <v>0</v>
      </c>
      <c r="AA989" t="s">
        <v>239</v>
      </c>
      <c r="AB989" t="s">
        <v>238</v>
      </c>
      <c r="AC989" t="s">
        <v>238</v>
      </c>
      <c r="AD989" s="2" t="s">
        <v>238</v>
      </c>
      <c r="AE989" s="2" t="s">
        <v>254</v>
      </c>
      <c r="AF989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9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9" s="2" t="str">
        <f>SUBSTITUTE(SUBSTITUTE(PROPERTIES[[#This Row],[PURCHASECOST_VALUE]], "PURCHASECOST_", ""), "_VALUE", "")</f>
        <v>ELECTRICENGINE</v>
      </c>
      <c r="AI989" s="7" t="str" cm="1">
        <f t="array" ref="AI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9" s="43" t="b">
        <v>0</v>
      </c>
      <c r="AK989" s="8" t="b">
        <v>0</v>
      </c>
      <c r="BA989" s="7"/>
      <c r="BB989" s="8"/>
      <c r="BC989" s="9"/>
      <c r="BD989"/>
    </row>
    <row r="990" spans="1:56">
      <c r="A990" s="2" t="s">
        <v>3500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5" t="str">
        <f>_xlfn.XLOOKUP(PROPERTIES[[#This Row],[VEHIDCODE]],CONTROL[VEHIDCODE],CONTROL[ENGLISH])</f>
        <v>ACME Corp. V200D DMU</v>
      </c>
      <c r="F990" t="s">
        <v>731</v>
      </c>
      <c r="G990" s="45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8">
        <v>50</v>
      </c>
      <c r="R990">
        <v>1900</v>
      </c>
      <c r="S990">
        <v>200</v>
      </c>
      <c r="T990" s="25">
        <v>0</v>
      </c>
      <c r="U990" s="25">
        <f>IFERROR(PROPERTIES[[#This Row],[TE_STARTING_KN]]/(PROPERTIES[[#This Row],[WEIGHT]]*9.81),0)</f>
        <v>0</v>
      </c>
      <c r="V990" s="25">
        <v>0.2</v>
      </c>
      <c r="W990" s="21">
        <f>ROUND(IF(IFERROR(PROPERTIES[[#This Row],[TE_COEFFICIENT_CALC]],0)=0,PROPERTIES[[#This Row],[TE_COEFFICIENT_MANUAL]],PROPERTIES[[#This Row],[TE_COEFFICIENT_CALC]]),3)</f>
        <v>0.2</v>
      </c>
      <c r="X990" s="44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1">
        <v>240</v>
      </c>
      <c r="Z990" s="7">
        <v>8</v>
      </c>
      <c r="AA990" t="s">
        <v>239</v>
      </c>
      <c r="AB990" t="s">
        <v>238</v>
      </c>
      <c r="AC990" t="s">
        <v>238</v>
      </c>
      <c r="AD990" s="2" t="s">
        <v>238</v>
      </c>
      <c r="AE990" s="2" t="s">
        <v>254</v>
      </c>
      <c r="AF990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90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90" s="2" t="str">
        <f>SUBSTITUTE(SUBSTITUTE(PROPERTIES[[#This Row],[PURCHASECOST_VALUE]], "PURCHASECOST_", ""), "_VALUE", "")</f>
        <v>DMU</v>
      </c>
      <c r="AI990" s="7" t="str" cm="1">
        <f t="array" ref="AI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0" s="43" t="b">
        <v>0</v>
      </c>
      <c r="AK990" s="8" t="b">
        <v>0</v>
      </c>
      <c r="BA990" s="7"/>
      <c r="BB990" s="8"/>
      <c r="BC990" s="9"/>
      <c r="BD990"/>
    </row>
    <row r="991" spans="1:56">
      <c r="A991" s="2" t="s">
        <v>3501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5" t="str">
        <f>_xlfn.XLOOKUP(PROPERTIES[[#This Row],[VEHIDCODE]],CONTROL[VEHIDCODE],CONTROL[ENGLISH])</f>
        <v>ACME Corp. V200E EMU</v>
      </c>
      <c r="F991" t="s">
        <v>731</v>
      </c>
      <c r="G991" s="45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8">
        <v>75</v>
      </c>
      <c r="R991">
        <v>2250</v>
      </c>
      <c r="S991">
        <v>200</v>
      </c>
      <c r="T991" s="25">
        <v>0</v>
      </c>
      <c r="U991" s="25">
        <f>IFERROR(PROPERTIES[[#This Row],[TE_STARTING_KN]]/(PROPERTIES[[#This Row],[WEIGHT]]*9.81),0)</f>
        <v>0</v>
      </c>
      <c r="V991" s="25">
        <v>0.15</v>
      </c>
      <c r="W991" s="21">
        <f>ROUND(IF(IFERROR(PROPERTIES[[#This Row],[TE_COEFFICIENT_CALC]],0)=0,PROPERTIES[[#This Row],[TE_COEFFICIENT_MANUAL]],PROPERTIES[[#This Row],[TE_COEFFICIENT_CALC]]),3)</f>
        <v>0.15</v>
      </c>
      <c r="X991" s="44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1">
        <v>120</v>
      </c>
      <c r="Z991" s="7">
        <v>8</v>
      </c>
      <c r="AA991" t="s">
        <v>239</v>
      </c>
      <c r="AB991" t="s">
        <v>238</v>
      </c>
      <c r="AC991" t="s">
        <v>238</v>
      </c>
      <c r="AD991" s="2" t="s">
        <v>238</v>
      </c>
      <c r="AE991" s="2" t="s">
        <v>254</v>
      </c>
      <c r="AF991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1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1" s="2" t="str">
        <f>SUBSTITUTE(SUBSTITUTE(PROPERTIES[[#This Row],[PURCHASECOST_VALUE]], "PURCHASECOST_", ""), "_VALUE", "")</f>
        <v>EMU</v>
      </c>
      <c r="AI991" s="7" t="str" cm="1">
        <f t="array" ref="AI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1" s="43" t="b">
        <v>0</v>
      </c>
      <c r="AK991" s="8" t="b">
        <v>0</v>
      </c>
      <c r="BA991" s="7"/>
      <c r="BB991" s="8"/>
      <c r="BC991" s="9"/>
      <c r="BD991"/>
    </row>
    <row r="992" spans="1:56">
      <c r="A992" s="2" t="s">
        <v>3502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5" t="str">
        <f>_xlfn.XLOOKUP(PROPERTIES[[#This Row],[VEHIDCODE]],CONTROL[VEHIDCODE],CONTROL[ENGLISH])</f>
        <v>ACME Corp. DD CargoEMU</v>
      </c>
      <c r="F992" t="s">
        <v>731</v>
      </c>
      <c r="G992" s="45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8">
        <v>150</v>
      </c>
      <c r="R992">
        <f>INT(10000/1.341)</f>
        <v>7457</v>
      </c>
      <c r="S992">
        <v>300</v>
      </c>
      <c r="T992" s="25">
        <v>0</v>
      </c>
      <c r="U992" s="24">
        <f>IFERROR(PROPERTIES[[#This Row],[TE_STARTING_KN]]/(PROPERTIES[[#This Row],[WEIGHT]]*9.81),0)</f>
        <v>0</v>
      </c>
      <c r="V992" s="24">
        <v>7.4999999999999997E-2</v>
      </c>
      <c r="W992" s="21">
        <f>ROUND(IF(IFERROR(PROPERTIES[[#This Row],[TE_COEFFICIENT_CALC]],0)=0,PROPERTIES[[#This Row],[TE_COEFFICIENT_MANUAL]],PROPERTIES[[#This Row],[TE_COEFFICIENT_CALC]]),3)</f>
        <v>7.4999999999999997E-2</v>
      </c>
      <c r="X992" s="9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1">
        <v>60</v>
      </c>
      <c r="Z992" s="7">
        <v>8</v>
      </c>
      <c r="AA992" t="s">
        <v>250</v>
      </c>
      <c r="AB992" t="s">
        <v>238</v>
      </c>
      <c r="AC992" t="s">
        <v>238</v>
      </c>
      <c r="AD992" s="2" t="s">
        <v>238</v>
      </c>
      <c r="AE992" s="2" t="s">
        <v>254</v>
      </c>
      <c r="AF99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2" s="2" t="str">
        <f>SUBSTITUTE(SUBSTITUTE(PROPERTIES[[#This Row],[PURCHASECOST_VALUE]], "PURCHASECOST_", ""), "_VALUE", "")</f>
        <v>EMU</v>
      </c>
      <c r="AI992" s="7" t="str" cm="1">
        <f t="array" ref="AI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2" s="43" t="b">
        <v>0</v>
      </c>
      <c r="AK992" s="8" t="b">
        <v>0</v>
      </c>
      <c r="BA992" s="7"/>
      <c r="BB992" s="8"/>
      <c r="BC992" s="9"/>
      <c r="BD992"/>
    </row>
    <row r="993" spans="1:37">
      <c r="A993" s="2" t="s">
        <v>3503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5" t="str">
        <f>_xlfn.XLOOKUP(PROPERTIES[[#This Row],[VEHIDCODE]],CONTROL[VEHIDCODE],CONTROL[ENGLISH])</f>
        <v>VEB LKM V180 B'B'</v>
      </c>
      <c r="F993" t="s">
        <v>623</v>
      </c>
      <c r="G993" s="45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8">
        <v>78</v>
      </c>
      <c r="R993">
        <v>1970</v>
      </c>
      <c r="S993">
        <v>120</v>
      </c>
      <c r="T993" s="25">
        <v>255</v>
      </c>
      <c r="U993" s="25">
        <f>IFERROR(PROPERTIES[[#This Row],[TE_STARTING_KN]]/(PROPERTIES[[#This Row],[WEIGHT]]*9.81),0)</f>
        <v>0.33325492041088367</v>
      </c>
      <c r="V993" s="25">
        <v>0</v>
      </c>
      <c r="W993" s="21">
        <f>ROUND(IF(IFERROR(PROPERTIES[[#This Row],[TE_COEFFICIENT_CALC]],0)=0,PROPERTIES[[#This Row],[TE_COEFFICIENT_MANUAL]],PROPERTIES[[#This Row],[TE_COEFFICIENT_CALC]]),3)</f>
        <v>0.33300000000000002</v>
      </c>
      <c r="X993" s="44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1">
        <v>0</v>
      </c>
      <c r="Z993" s="7">
        <v>0</v>
      </c>
      <c r="AA993" t="s">
        <v>239</v>
      </c>
      <c r="AB993" t="s">
        <v>238</v>
      </c>
      <c r="AC993" t="s">
        <v>238</v>
      </c>
      <c r="AD993" s="2" t="s">
        <v>238</v>
      </c>
      <c r="AE993" s="2" t="s">
        <v>253</v>
      </c>
      <c r="AF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3" s="2" t="str">
        <f>SUBSTITUTE(SUBSTITUTE(PROPERTIES[[#This Row],[PURCHASECOST_VALUE]], "PURCHASECOST_", ""), "_VALUE", "")</f>
        <v>DIESELENGINE</v>
      </c>
      <c r="AI993" s="7" t="str" cm="1">
        <f t="array" ref="AI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3" s="43" t="b">
        <v>0</v>
      </c>
      <c r="AK993" s="8" t="b">
        <v>0</v>
      </c>
    </row>
    <row r="994" spans="1:37">
      <c r="A994" s="2" t="s">
        <v>3504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5" t="str">
        <f>_xlfn.XLOOKUP(PROPERTIES[[#This Row],[VEHIDCODE]],CONTROL[VEHIDCODE],CONTROL[ENGLISH])</f>
        <v>PESA 43WE 'DART'</v>
      </c>
      <c r="F994" t="s">
        <v>744</v>
      </c>
      <c r="G994" s="45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8">
        <f>395/8</f>
        <v>49.375</v>
      </c>
      <c r="R994">
        <f>INT(2400*1.341)</f>
        <v>3218</v>
      </c>
      <c r="S994">
        <v>160</v>
      </c>
      <c r="T994" s="25">
        <v>0</v>
      </c>
      <c r="U994" s="25">
        <f>IFERROR(PROPERTIES[[#This Row],[TE_STARTING_KN]]/(PROPERTIES[[#This Row],[WEIGHT]]*9.81),0)</f>
        <v>0</v>
      </c>
      <c r="V994" s="25">
        <v>0.3</v>
      </c>
      <c r="W994" s="21">
        <f>ROUND(IF(IFERROR(PROPERTIES[[#This Row],[TE_COEFFICIENT_CALC]],0)=0,PROPERTIES[[#This Row],[TE_COEFFICIENT_MANUAL]],PROPERTIES[[#This Row],[TE_COEFFICIENT_CALC]]),3)</f>
        <v>0.3</v>
      </c>
      <c r="X994" s="44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1">
        <f>INT(352/8)</f>
        <v>44</v>
      </c>
      <c r="Z994" s="7">
        <v>8</v>
      </c>
      <c r="AA994" t="s">
        <v>245</v>
      </c>
      <c r="AB994" t="s">
        <v>238</v>
      </c>
      <c r="AC994" t="s">
        <v>238</v>
      </c>
      <c r="AD994" s="2" t="s">
        <v>238</v>
      </c>
      <c r="AE994" s="2" t="s">
        <v>253</v>
      </c>
      <c r="AF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4" s="2" t="str">
        <f>SUBSTITUTE(SUBSTITUTE(PROPERTIES[[#This Row],[PURCHASECOST_VALUE]], "PURCHASECOST_", ""), "_VALUE", "")</f>
        <v>EMU</v>
      </c>
      <c r="AI994" s="7" t="str" cm="1">
        <f t="array" ref="AI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4" s="43" t="b">
        <v>0</v>
      </c>
      <c r="AK994" s="8" t="b">
        <v>0</v>
      </c>
    </row>
    <row r="995" spans="1:37">
      <c r="A995" s="2" t="s">
        <v>3505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5" t="str">
        <f>_xlfn.XLOOKUP(PROPERTIES[[#This Row],[VEHIDCODE]],CONTROL[VEHIDCODE],CONTROL[ENGLISH])</f>
        <v>LEW EL2</v>
      </c>
      <c r="F995" t="s">
        <v>623</v>
      </c>
      <c r="G995" s="45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8">
        <v>100</v>
      </c>
      <c r="R995">
        <v>1790</v>
      </c>
      <c r="S995">
        <v>65</v>
      </c>
      <c r="T995" s="25">
        <v>300</v>
      </c>
      <c r="U995" s="25">
        <f>IFERROR(PROPERTIES[[#This Row],[TE_STARTING_KN]]/(PROPERTIES[[#This Row],[WEIGHT]]*9.81),0)</f>
        <v>0.3058103975535168</v>
      </c>
      <c r="V995" s="25">
        <v>0</v>
      </c>
      <c r="W995" s="21">
        <f>ROUND(IF(IFERROR(PROPERTIES[[#This Row],[TE_COEFFICIENT_CALC]],0)=0,PROPERTIES[[#This Row],[TE_COEFFICIENT_MANUAL]],PROPERTIES[[#This Row],[TE_COEFFICIENT_CALC]]),3)</f>
        <v>0.30599999999999999</v>
      </c>
      <c r="X995" s="44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1">
        <v>0</v>
      </c>
      <c r="Z995" s="7">
        <v>0</v>
      </c>
      <c r="AA995" t="s">
        <v>2013</v>
      </c>
      <c r="AB995" t="s">
        <v>238</v>
      </c>
      <c r="AC995" t="s">
        <v>238</v>
      </c>
      <c r="AD995" s="2" t="s">
        <v>238</v>
      </c>
      <c r="AE995" s="2" t="s">
        <v>253</v>
      </c>
      <c r="AF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5" s="2" t="str">
        <f>SUBSTITUTE(SUBSTITUTE(PROPERTIES[[#This Row],[PURCHASECOST_VALUE]], "PURCHASECOST_", ""), "_VALUE", "")</f>
        <v>ELECTRICENGINE</v>
      </c>
      <c r="AI995" s="7" t="str" cm="1">
        <f t="array" ref="AI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5" s="43" t="b">
        <v>0</v>
      </c>
      <c r="AK995" s="8" t="b">
        <v>0</v>
      </c>
    </row>
    <row r="996" spans="1:37">
      <c r="A996" s="2" t="s">
        <v>3506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5" t="str">
        <f>_xlfn.XLOOKUP(PROPERTIES[[#This Row],[VEHIDCODE]],CONTROL[VEHIDCODE],CONTROL[ENGLISH])</f>
        <v>Pafawag 201E</v>
      </c>
      <c r="F996" t="s">
        <v>744</v>
      </c>
      <c r="G996" s="45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8">
        <v>120</v>
      </c>
      <c r="R996">
        <v>4020</v>
      </c>
      <c r="S996">
        <v>125</v>
      </c>
      <c r="T996" s="25">
        <v>420</v>
      </c>
      <c r="U996" s="25">
        <f>IFERROR(PROPERTIES[[#This Row],[TE_STARTING_KN]]/(PROPERTIES[[#This Row],[WEIGHT]]*9.81),0)</f>
        <v>0.3567787971457696</v>
      </c>
      <c r="V996" s="25">
        <v>0</v>
      </c>
      <c r="W996" s="21">
        <f>ROUND(IF(IFERROR(PROPERTIES[[#This Row],[TE_COEFFICIENT_CALC]],0)=0,PROPERTIES[[#This Row],[TE_COEFFICIENT_MANUAL]],PROPERTIES[[#This Row],[TE_COEFFICIENT_CALC]]),3)</f>
        <v>0.35699999999999998</v>
      </c>
      <c r="X996" s="44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1">
        <v>0</v>
      </c>
      <c r="Z996" s="7">
        <v>0</v>
      </c>
      <c r="AA996" t="s">
        <v>245</v>
      </c>
      <c r="AB996" t="s">
        <v>242</v>
      </c>
      <c r="AC996" t="s">
        <v>238</v>
      </c>
      <c r="AD996" s="2" t="s">
        <v>238</v>
      </c>
      <c r="AE996" s="2" t="s">
        <v>253</v>
      </c>
      <c r="AF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6" s="2" t="str">
        <f>SUBSTITUTE(SUBSTITUTE(PROPERTIES[[#This Row],[PURCHASECOST_VALUE]], "PURCHASECOST_", ""), "_VALUE", "")</f>
        <v>ELECTRICENGINE</v>
      </c>
      <c r="AI996" s="7" t="str" cm="1">
        <f t="array" ref="AI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6" s="43" t="b">
        <v>0</v>
      </c>
      <c r="AK996" s="8" t="b">
        <v>0</v>
      </c>
    </row>
    <row r="997" spans="1:37">
      <c r="A997" s="2" t="s">
        <v>3507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5" t="str">
        <f>_xlfn.XLOOKUP(PROPERTIES[[#This Row],[VEHIDCODE]],CONTROL[VEHIDCODE],CONTROL[ENGLISH])</f>
        <v>NOHAB AA16</v>
      </c>
      <c r="F997" t="s">
        <v>761</v>
      </c>
      <c r="G997" s="45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8">
        <v>109</v>
      </c>
      <c r="R997">
        <v>1980</v>
      </c>
      <c r="S997">
        <v>140</v>
      </c>
      <c r="T997" s="25">
        <v>290</v>
      </c>
      <c r="U997" s="25">
        <f>IFERROR(PROPERTIES[[#This Row],[TE_STARTING_KN]]/(PROPERTIES[[#This Row],[WEIGHT]]*9.81),0)</f>
        <v>0.271207997830336</v>
      </c>
      <c r="V997" s="25">
        <v>0</v>
      </c>
      <c r="W997" s="21">
        <f>ROUND(IF(IFERROR(PROPERTIES[[#This Row],[TE_COEFFICIENT_CALC]],0)=0,PROPERTIES[[#This Row],[TE_COEFFICIENT_MANUAL]],PROPERTIES[[#This Row],[TE_COEFFICIENT_CALC]]),3)</f>
        <v>0.27100000000000002</v>
      </c>
      <c r="X997" s="44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1">
        <v>0</v>
      </c>
      <c r="Z997" s="7">
        <v>0</v>
      </c>
      <c r="AA997" t="s">
        <v>248</v>
      </c>
      <c r="AB997" t="s">
        <v>238</v>
      </c>
      <c r="AC997" t="s">
        <v>238</v>
      </c>
      <c r="AD997" s="2" t="s">
        <v>238</v>
      </c>
      <c r="AE997" s="2" t="s">
        <v>253</v>
      </c>
      <c r="AF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7" s="2" t="str">
        <f>SUBSTITUTE(SUBSTITUTE(PROPERTIES[[#This Row],[PURCHASECOST_VALUE]], "PURCHASECOST_", ""), "_VALUE", "")</f>
        <v>DIESELENGINE</v>
      </c>
      <c r="AI997" s="7" t="str" cm="1">
        <f t="array" ref="AI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7" s="43" t="b">
        <v>0</v>
      </c>
      <c r="AK997" s="8" t="b">
        <v>0</v>
      </c>
    </row>
    <row r="998" spans="1:37">
      <c r="A998" s="2" t="s">
        <v>3508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5" t="str">
        <f>_xlfn.XLOOKUP(PROPERTIES[[#This Row],[VEHIDCODE]],CONTROL[VEHIDCODE],CONTROL[ENGLISH])</f>
        <v>LEW V100</v>
      </c>
      <c r="F998" t="s">
        <v>623</v>
      </c>
      <c r="G998" s="45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8">
        <v>64</v>
      </c>
      <c r="R998">
        <v>987</v>
      </c>
      <c r="S998">
        <v>100</v>
      </c>
      <c r="T998" s="25">
        <v>227</v>
      </c>
      <c r="U998" s="25">
        <f>IFERROR(PROPERTIES[[#This Row],[TE_STARTING_KN]]/(PROPERTIES[[#This Row],[WEIGHT]]*9.81),0)</f>
        <v>0.36155708460754332</v>
      </c>
      <c r="V998" s="25">
        <v>0</v>
      </c>
      <c r="W998" s="21">
        <f>ROUND(IF(IFERROR(PROPERTIES[[#This Row],[TE_COEFFICIENT_CALC]],0)=0,PROPERTIES[[#This Row],[TE_COEFFICIENT_MANUAL]],PROPERTIES[[#This Row],[TE_COEFFICIENT_CALC]]),3)</f>
        <v>0.36199999999999999</v>
      </c>
      <c r="X998" s="44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1">
        <v>0</v>
      </c>
      <c r="Z998" s="7">
        <v>0</v>
      </c>
      <c r="AA998" t="s">
        <v>2013</v>
      </c>
      <c r="AB998" t="s">
        <v>239</v>
      </c>
      <c r="AC998" t="s">
        <v>238</v>
      </c>
      <c r="AD998" s="2" t="s">
        <v>238</v>
      </c>
      <c r="AE998" s="2" t="s">
        <v>253</v>
      </c>
      <c r="AF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8" s="2" t="str">
        <f>SUBSTITUTE(SUBSTITUTE(PROPERTIES[[#This Row],[PURCHASECOST_VALUE]], "PURCHASECOST_", ""), "_VALUE", "")</f>
        <v>DIESELENGINE</v>
      </c>
      <c r="AI998" s="7" t="str" cm="1">
        <f t="array" ref="AI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8" s="43" t="b">
        <v>0</v>
      </c>
      <c r="AK998" s="8" t="b">
        <v>0</v>
      </c>
    </row>
    <row r="999" spans="1:37">
      <c r="A999" s="2" t="s">
        <v>3509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5" t="str">
        <f>_xlfn.XLOOKUP(PROPERTIES[[#This Row],[VEHIDCODE]],CONTROL[VEHIDCODE],CONTROL[ENGLISH])</f>
        <v>Fablok 6D</v>
      </c>
      <c r="F999" t="s">
        <v>744</v>
      </c>
      <c r="G999" s="45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8">
        <v>74</v>
      </c>
      <c r="R999">
        <v>800</v>
      </c>
      <c r="S999">
        <v>90</v>
      </c>
      <c r="T999" s="25">
        <v>228</v>
      </c>
      <c r="U999" s="24">
        <f>IFERROR(PROPERTIES[[#This Row],[TE_STARTING_KN]]/(PROPERTIES[[#This Row],[WEIGHT]]*9.81),0)</f>
        <v>0.3140755434333416</v>
      </c>
      <c r="V999" s="24">
        <v>0</v>
      </c>
      <c r="W999" s="21">
        <f>ROUND(IF(IFERROR(PROPERTIES[[#This Row],[TE_COEFFICIENT_CALC]],0)=0,PROPERTIES[[#This Row],[TE_COEFFICIENT_MANUAL]],PROPERTIES[[#This Row],[TE_COEFFICIENT_CALC]]),3)</f>
        <v>0.314</v>
      </c>
      <c r="X999" s="9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1">
        <v>0</v>
      </c>
      <c r="Z999" s="7">
        <v>0</v>
      </c>
      <c r="AA999" t="s">
        <v>245</v>
      </c>
      <c r="AB999" t="s">
        <v>242</v>
      </c>
      <c r="AC999" t="s">
        <v>238</v>
      </c>
      <c r="AD999" s="2" t="s">
        <v>238</v>
      </c>
      <c r="AE999" s="2" t="s">
        <v>253</v>
      </c>
      <c r="AF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9" s="2" t="str">
        <f>SUBSTITUTE(SUBSTITUTE(PROPERTIES[[#This Row],[PURCHASECOST_VALUE]], "PURCHASECOST_", ""), "_VALUE", "")</f>
        <v>DIESELENGINE</v>
      </c>
      <c r="AI999" s="7" t="str" cm="1">
        <f t="array" ref="AI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9" s="43" t="b">
        <v>0</v>
      </c>
      <c r="AK999" s="8" t="b">
        <v>0</v>
      </c>
    </row>
    <row r="1000" spans="1:37">
      <c r="A1000" s="2" t="s">
        <v>3510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5" t="str">
        <f>_xlfn.XLOOKUP(PROPERTIES[[#This Row],[VEHIDCODE]],CONTROL[VEHIDCODE],CONTROL[ENGLISH])</f>
        <v>HCP 301D</v>
      </c>
      <c r="F1000" t="s">
        <v>744</v>
      </c>
      <c r="G1000" s="45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8">
        <v>102</v>
      </c>
      <c r="R1000">
        <v>1750</v>
      </c>
      <c r="S1000">
        <v>120</v>
      </c>
      <c r="T1000" s="25">
        <v>320</v>
      </c>
      <c r="U1000" s="25">
        <f>IFERROR(PROPERTIES[[#This Row],[TE_STARTING_KN]]/(PROPERTIES[[#This Row],[WEIGHT]]*9.81),0)</f>
        <v>0.31980172293178227</v>
      </c>
      <c r="V1000" s="25">
        <v>0</v>
      </c>
      <c r="W1000" s="21">
        <f>ROUND(IF(IFERROR(PROPERTIES[[#This Row],[TE_COEFFICIENT_CALC]],0)=0,PROPERTIES[[#This Row],[TE_COEFFICIENT_MANUAL]],PROPERTIES[[#This Row],[TE_COEFFICIENT_CALC]]),3)</f>
        <v>0.32</v>
      </c>
      <c r="X1000" s="44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1">
        <v>0</v>
      </c>
      <c r="Z1000" s="7">
        <v>0</v>
      </c>
      <c r="AA1000" t="s">
        <v>245</v>
      </c>
      <c r="AB1000" t="s">
        <v>242</v>
      </c>
      <c r="AC1000" t="s">
        <v>238</v>
      </c>
      <c r="AD1000" s="2" t="s">
        <v>238</v>
      </c>
      <c r="AE1000" s="2" t="s">
        <v>253</v>
      </c>
      <c r="AF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0" s="2" t="str">
        <f>SUBSTITUTE(SUBSTITUTE(PROPERTIES[[#This Row],[PURCHASECOST_VALUE]], "PURCHASECOST_", ""), "_VALUE", "")</f>
        <v>DIESELENGINE</v>
      </c>
      <c r="AI1000" s="7" t="str" cm="1">
        <f t="array" ref="AI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0" s="43" t="b">
        <v>0</v>
      </c>
      <c r="AK1000" s="8" t="b">
        <v>0</v>
      </c>
    </row>
    <row r="1001" spans="1:37">
      <c r="A1001" s="2" t="s">
        <v>3511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5" t="str">
        <f>_xlfn.XLOOKUP(PROPERTIES[[#This Row],[VEHIDCODE]],CONTROL[VEHIDCODE],CONTROL[ENGLISH])</f>
        <v>Stadler 'Flirt' PowerPack DMU</v>
      </c>
      <c r="F1001" t="s">
        <v>609</v>
      </c>
      <c r="G1001" s="45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8">
        <v>31</v>
      </c>
      <c r="R1001">
        <v>2682</v>
      </c>
      <c r="S1001">
        <v>160</v>
      </c>
      <c r="T1001" s="25">
        <f>200/2</f>
        <v>100</v>
      </c>
      <c r="U1001" s="24">
        <f>IFERROR(PROPERTIES[[#This Row],[TE_STARTING_KN]]/(PROPERTIES[[#This Row],[WEIGHT]]*9.81),0)</f>
        <v>0.32882838446614709</v>
      </c>
      <c r="V1001" s="24">
        <v>0</v>
      </c>
      <c r="W1001" s="21">
        <f>ROUND(IF(IFERROR(PROPERTIES[[#This Row],[TE_COEFFICIENT_CALC]],0)=0,PROPERTIES[[#This Row],[TE_COEFFICIENT_MANUAL]],PROPERTIES[[#This Row],[TE_COEFFICIENT_CALC]]),3)</f>
        <v>0.32900000000000001</v>
      </c>
      <c r="X1001" s="9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1">
        <v>50</v>
      </c>
      <c r="Z1001" s="7">
        <v>7</v>
      </c>
      <c r="AA1001" t="s">
        <v>248</v>
      </c>
      <c r="AB1001" t="s">
        <v>244</v>
      </c>
      <c r="AC1001" t="s">
        <v>238</v>
      </c>
      <c r="AD1001" s="2" t="s">
        <v>238</v>
      </c>
      <c r="AE1001" s="2" t="s">
        <v>253</v>
      </c>
      <c r="AF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1001" s="2" t="str">
        <f>SUBSTITUTE(SUBSTITUTE(PROPERTIES[[#This Row],[PURCHASECOST_VALUE]], "PURCHASECOST_", ""), "_VALUE", "")</f>
        <v>DMU</v>
      </c>
      <c r="AI1001" s="7" t="str" cm="1">
        <f t="array" ref="AI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001" s="43" t="b">
        <v>0</v>
      </c>
      <c r="AK1001" s="8" t="b">
        <v>0</v>
      </c>
    </row>
    <row r="1002" spans="1:37">
      <c r="A1002" s="2" t="s">
        <v>3512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5" t="str">
        <f>_xlfn.XLOOKUP(PROPERTIES[[#This Row],[VEHIDCODE]],CONTROL[VEHIDCODE],CONTROL[ENGLISH])</f>
        <v>JNR Container Bullet Train Concept</v>
      </c>
      <c r="F1002" t="s">
        <v>679</v>
      </c>
      <c r="G1002" s="45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8">
        <f>51/2</f>
        <v>25.5</v>
      </c>
      <c r="R1002">
        <v>1800</v>
      </c>
      <c r="S1002">
        <v>160</v>
      </c>
      <c r="T1002" s="25">
        <f>98/2</f>
        <v>49</v>
      </c>
      <c r="U1002" s="24">
        <f>IFERROR(PROPERTIES[[#This Row],[TE_STARTING_KN]]/(PROPERTIES[[#This Row],[WEIGHT]]*9.81),0)</f>
        <v>0.19587855529571666</v>
      </c>
      <c r="V1002" s="24">
        <v>0</v>
      </c>
      <c r="W1002" s="21">
        <f>ROUND(IF(IFERROR(PROPERTIES[[#This Row],[TE_COEFFICIENT_CALC]],0)=0,PROPERTIES[[#This Row],[TE_COEFFICIENT_MANUAL]],PROPERTIES[[#This Row],[TE_COEFFICIENT_CALC]]),3)</f>
        <v>0.19600000000000001</v>
      </c>
      <c r="X1002" s="9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1">
        <v>60</v>
      </c>
      <c r="Z1002" s="7">
        <v>8</v>
      </c>
      <c r="AA1002" t="s">
        <v>247</v>
      </c>
      <c r="AB1002" t="s">
        <v>238</v>
      </c>
      <c r="AC1002" t="s">
        <v>238</v>
      </c>
      <c r="AD1002" s="2" t="s">
        <v>238</v>
      </c>
      <c r="AE1002" s="8" t="s">
        <v>254</v>
      </c>
      <c r="AF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02" s="2" t="str">
        <f>SUBSTITUTE(SUBSTITUTE(PROPERTIES[[#This Row],[PURCHASECOST_VALUE]], "PURCHASECOST_", ""), "_VALUE", "")</f>
        <v>EMU</v>
      </c>
      <c r="AI1002" s="7" t="str" cm="1">
        <f t="array" ref="AI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2" s="9" t="b">
        <v>0</v>
      </c>
      <c r="AK1002" s="8" t="b">
        <v>0</v>
      </c>
    </row>
    <row r="1003" spans="1:37">
      <c r="A1003" s="2" t="s">
        <v>3513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5" t="str">
        <f>_xlfn.XLOOKUP(PROPERTIES[[#This Row],[VEHIDCODE]],CONTROL[VEHIDCODE],CONTROL[ENGLISH])</f>
        <v>Hitachi WAG-6B/C</v>
      </c>
      <c r="F1003" t="s">
        <v>670</v>
      </c>
      <c r="G1003" s="45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8">
        <v>123</v>
      </c>
      <c r="R1003">
        <v>6110</v>
      </c>
      <c r="S1003">
        <v>100</v>
      </c>
      <c r="T1003" s="25">
        <v>440</v>
      </c>
      <c r="U1003" s="25">
        <f>IFERROR(PROPERTIES[[#This Row],[TE_STARTING_KN]]/(PROPERTIES[[#This Row],[WEIGHT]]*9.81),0)</f>
        <v>0.36465196456245907</v>
      </c>
      <c r="V1003" s="25">
        <v>0</v>
      </c>
      <c r="W1003" s="21">
        <f>ROUND(IF(IFERROR(PROPERTIES[[#This Row],[TE_COEFFICIENT_CALC]],0)=0,PROPERTIES[[#This Row],[TE_COEFFICIENT_MANUAL]],PROPERTIES[[#This Row],[TE_COEFFICIENT_CALC]]),3)</f>
        <v>0.36499999999999999</v>
      </c>
      <c r="X1003" s="44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1">
        <v>0</v>
      </c>
      <c r="Z1003" s="7">
        <v>0</v>
      </c>
      <c r="AA1003" t="s">
        <v>247</v>
      </c>
      <c r="AB1003" t="s">
        <v>238</v>
      </c>
      <c r="AC1003" t="s">
        <v>238</v>
      </c>
      <c r="AD1003" s="2" t="s">
        <v>238</v>
      </c>
      <c r="AE1003" s="8" t="s">
        <v>253</v>
      </c>
      <c r="AF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3" s="2" t="str">
        <f>SUBSTITUTE(SUBSTITUTE(PROPERTIES[[#This Row],[PURCHASECOST_VALUE]], "PURCHASECOST_", ""), "_VALUE", "")</f>
        <v>ELECTRICENGINE</v>
      </c>
      <c r="AI1003" s="7" t="str" cm="1">
        <f t="array" ref="AI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3" s="9" t="b">
        <v>0</v>
      </c>
      <c r="AK1003" s="8" t="b">
        <v>0</v>
      </c>
    </row>
    <row r="1004" spans="1:37">
      <c r="A1004" s="2" t="s">
        <v>3514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5" t="str">
        <f>_xlfn.XLOOKUP(PROPERTIES[[#This Row],[VEHIDCODE]],CONTROL[VEHIDCODE],CONTROL[ENGLISH])</f>
        <v>Toshiba 10E</v>
      </c>
      <c r="F1004" t="s">
        <v>810</v>
      </c>
      <c r="G1004" s="45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8">
        <v>125</v>
      </c>
      <c r="R1004">
        <v>4340</v>
      </c>
      <c r="S1004">
        <v>90</v>
      </c>
      <c r="T1004" s="25">
        <v>450</v>
      </c>
      <c r="U1004" s="25">
        <f>IFERROR(PROPERTIES[[#This Row],[TE_STARTING_KN]]/(PROPERTIES[[#This Row],[WEIGHT]]*9.81),0)</f>
        <v>0.3669724770642202</v>
      </c>
      <c r="V1004" s="25">
        <v>0</v>
      </c>
      <c r="W1004" s="21">
        <f>ROUND(IF(IFERROR(PROPERTIES[[#This Row],[TE_COEFFICIENT_CALC]],0)=0,PROPERTIES[[#This Row],[TE_COEFFICIENT_MANUAL]],PROPERTIES[[#This Row],[TE_COEFFICIENT_CALC]]),3)</f>
        <v>0.36699999999999999</v>
      </c>
      <c r="X1004" s="44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1">
        <v>0</v>
      </c>
      <c r="Z1004" s="7">
        <v>0</v>
      </c>
      <c r="AA1004" t="s">
        <v>242</v>
      </c>
      <c r="AB1004" t="s">
        <v>238</v>
      </c>
      <c r="AC1004" t="s">
        <v>238</v>
      </c>
      <c r="AD1004" s="2" t="s">
        <v>238</v>
      </c>
      <c r="AE1004" s="8" t="s">
        <v>253</v>
      </c>
      <c r="AF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4" s="2" t="str">
        <f>SUBSTITUTE(SUBSTITUTE(PROPERTIES[[#This Row],[PURCHASECOST_VALUE]], "PURCHASECOST_", ""), "_VALUE", "")</f>
        <v>ELECTRICENGINE</v>
      </c>
      <c r="AI1004" s="7" t="str" cm="1">
        <f t="array" ref="AI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4" s="9" t="b">
        <v>0</v>
      </c>
      <c r="AK1004" s="8" t="b">
        <v>0</v>
      </c>
    </row>
    <row r="1005" spans="1:37">
      <c r="A1005" s="2" t="s">
        <v>3515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5" t="str">
        <f>_xlfn.XLOOKUP(PROPERTIES[[#This Row],[VEHIDCODE]],CONTROL[VEHIDCODE],CONTROL[ENGLISH])</f>
        <v>GEC 9E</v>
      </c>
      <c r="F1005" t="s">
        <v>810</v>
      </c>
      <c r="G1005" s="45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8">
        <v>166.3</v>
      </c>
      <c r="R1005">
        <v>5550</v>
      </c>
      <c r="S1005">
        <v>90</v>
      </c>
      <c r="T1005" s="25">
        <v>570</v>
      </c>
      <c r="U1005" s="25">
        <f>IFERROR(PROPERTIES[[#This Row],[TE_STARTING_KN]]/(PROPERTIES[[#This Row],[WEIGHT]]*9.81),0)</f>
        <v>0.34939251674785438</v>
      </c>
      <c r="V1005" s="25">
        <v>0</v>
      </c>
      <c r="W1005" s="21">
        <f>ROUND(IF(IFERROR(PROPERTIES[[#This Row],[TE_COEFFICIENT_CALC]],0)=0,PROPERTIES[[#This Row],[TE_COEFFICIENT_MANUAL]],PROPERTIES[[#This Row],[TE_COEFFICIENT_CALC]]),3)</f>
        <v>0.34899999999999998</v>
      </c>
      <c r="X1005" s="44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1">
        <v>0</v>
      </c>
      <c r="Z1005" s="7">
        <v>0</v>
      </c>
      <c r="AA1005" t="s">
        <v>242</v>
      </c>
      <c r="AB1005" t="s">
        <v>238</v>
      </c>
      <c r="AC1005" t="s">
        <v>238</v>
      </c>
      <c r="AD1005" s="2" t="s">
        <v>238</v>
      </c>
      <c r="AE1005" s="8" t="s">
        <v>253</v>
      </c>
      <c r="AF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5" s="2" t="str">
        <f>SUBSTITUTE(SUBSTITUTE(PROPERTIES[[#This Row],[PURCHASECOST_VALUE]], "PURCHASECOST_", ""), "_VALUE", "")</f>
        <v>ELECTRICENGINE</v>
      </c>
      <c r="AI1005" s="7" t="str" cm="1">
        <f t="array" ref="AI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5" s="9" t="b">
        <v>0</v>
      </c>
      <c r="AK1005" s="8" t="b">
        <v>0</v>
      </c>
    </row>
    <row r="1006" spans="1:37">
      <c r="A1006" s="2" t="s">
        <v>3516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5" t="str">
        <f>_xlfn.XLOOKUP(PROPERTIES[[#This Row],[VEHIDCODE]],CONTROL[VEHIDCODE],CONTROL[ENGLISH])</f>
        <v>Hitachi E1100</v>
      </c>
      <c r="F1006" t="s">
        <v>702</v>
      </c>
      <c r="G1006" s="45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8">
        <v>120</v>
      </c>
      <c r="R1006">
        <v>3822</v>
      </c>
      <c r="S1006">
        <v>100</v>
      </c>
      <c r="T1006" s="25">
        <v>313</v>
      </c>
      <c r="U1006" s="25">
        <f>IFERROR(PROPERTIES[[#This Row],[TE_STARTING_KN]]/(PROPERTIES[[#This Row],[WEIGHT]]*9.81),0)</f>
        <v>0.26588515120625211</v>
      </c>
      <c r="V1006" s="25">
        <v>0</v>
      </c>
      <c r="W1006" s="21">
        <f>ROUND(IF(IFERROR(PROPERTIES[[#This Row],[TE_COEFFICIENT_CALC]],0)=0,PROPERTIES[[#This Row],[TE_COEFFICIENT_MANUAL]],PROPERTIES[[#This Row],[TE_COEFFICIENT_CALC]]),3)</f>
        <v>0.26600000000000001</v>
      </c>
      <c r="X1006" s="44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1">
        <v>0</v>
      </c>
      <c r="Z1006" s="7">
        <v>0</v>
      </c>
      <c r="AA1006" t="s">
        <v>242</v>
      </c>
      <c r="AB1006" t="s">
        <v>238</v>
      </c>
      <c r="AC1006" t="s">
        <v>238</v>
      </c>
      <c r="AD1006" s="2" t="s">
        <v>238</v>
      </c>
      <c r="AE1006" s="8" t="s">
        <v>253</v>
      </c>
      <c r="AF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6" s="2" t="str">
        <f>SUBSTITUTE(SUBSTITUTE(PROPERTIES[[#This Row],[PURCHASECOST_VALUE]], "PURCHASECOST_", ""), "_VALUE", "")</f>
        <v>ELECTRICENGINE</v>
      </c>
      <c r="AI1006" s="7" t="str" cm="1">
        <f t="array" ref="AI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6" s="9" t="b">
        <v>0</v>
      </c>
      <c r="AK1006" s="8" t="b">
        <v>0</v>
      </c>
    </row>
    <row r="1007" spans="1:37">
      <c r="A1007" s="2" t="s">
        <v>3517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5" t="str">
        <f>_xlfn.XLOOKUP(PROPERTIES[[#This Row],[VEHIDCODE]],CONTROL[VEHIDCODE],CONTROL[ENGLISH])</f>
        <v>RDSO/CLW WAM-4</v>
      </c>
      <c r="F1007" t="s">
        <v>670</v>
      </c>
      <c r="G1007" s="45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8">
        <v>112.8</v>
      </c>
      <c r="R1007">
        <v>3640</v>
      </c>
      <c r="S1007">
        <v>120</v>
      </c>
      <c r="T1007" s="25">
        <v>331.9</v>
      </c>
      <c r="U1007" s="25">
        <f>IFERROR(PROPERTIES[[#This Row],[TE_STARTING_KN]]/(PROPERTIES[[#This Row],[WEIGHT]]*9.81),0)</f>
        <v>0.29993637987001248</v>
      </c>
      <c r="V1007" s="25">
        <v>0</v>
      </c>
      <c r="W1007" s="21">
        <f>ROUND(IF(IFERROR(PROPERTIES[[#This Row],[TE_COEFFICIENT_CALC]],0)=0,PROPERTIES[[#This Row],[TE_COEFFICIENT_MANUAL]],PROPERTIES[[#This Row],[TE_COEFFICIENT_CALC]]),3)</f>
        <v>0.3</v>
      </c>
      <c r="X1007" s="44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1">
        <v>0</v>
      </c>
      <c r="Z1007" s="7">
        <v>0</v>
      </c>
      <c r="AA1007" t="s">
        <v>247</v>
      </c>
      <c r="AB1007" t="s">
        <v>238</v>
      </c>
      <c r="AC1007" t="s">
        <v>238</v>
      </c>
      <c r="AD1007" s="2" t="s">
        <v>238</v>
      </c>
      <c r="AE1007" s="8" t="s">
        <v>253</v>
      </c>
      <c r="AF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7" s="2" t="str">
        <f>SUBSTITUTE(SUBSTITUTE(PROPERTIES[[#This Row],[PURCHASECOST_VALUE]], "PURCHASECOST_", ""), "_VALUE", "")</f>
        <v>ELECTRICENGINE</v>
      </c>
      <c r="AI1007" s="7" t="str" cm="1">
        <f t="array" ref="AI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7" s="9" t="b">
        <v>0</v>
      </c>
      <c r="AK1007" s="8" t="b">
        <v>0</v>
      </c>
    </row>
    <row r="1008" spans="1:37">
      <c r="A1008" s="2" t="s">
        <v>3518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5" t="str">
        <f>_xlfn.XLOOKUP(PROPERTIES[[#This Row],[VEHIDCODE]],CONTROL[VEHIDCODE],CONTROL[ENGLISH])</f>
        <v>Groupement 50 Hz WAM 1</v>
      </c>
      <c r="F1008" t="s">
        <v>670</v>
      </c>
      <c r="G1008" s="45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8">
        <v>74</v>
      </c>
      <c r="R1008">
        <v>3010</v>
      </c>
      <c r="S1008">
        <v>112</v>
      </c>
      <c r="T1008" s="25">
        <v>250</v>
      </c>
      <c r="U1008" s="25">
        <f>IFERROR(PROPERTIES[[#This Row],[TE_STARTING_KN]]/(PROPERTIES[[#This Row],[WEIGHT]]*9.81),0)</f>
        <v>0.34438107832603243</v>
      </c>
      <c r="V1008" s="25">
        <v>0</v>
      </c>
      <c r="W1008" s="21">
        <f>ROUND(IF(IFERROR(PROPERTIES[[#This Row],[TE_COEFFICIENT_CALC]],0)=0,PROPERTIES[[#This Row],[TE_COEFFICIENT_MANUAL]],PROPERTIES[[#This Row],[TE_COEFFICIENT_CALC]]),3)</f>
        <v>0.34399999999999997</v>
      </c>
      <c r="X1008" s="44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1">
        <v>0</v>
      </c>
      <c r="Z1008" s="7">
        <v>0</v>
      </c>
      <c r="AA1008" t="s">
        <v>247</v>
      </c>
      <c r="AB1008" t="s">
        <v>238</v>
      </c>
      <c r="AC1008" t="s">
        <v>238</v>
      </c>
      <c r="AD1008" s="2" t="s">
        <v>238</v>
      </c>
      <c r="AE1008" s="8" t="s">
        <v>253</v>
      </c>
      <c r="AF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8" s="2" t="str">
        <f>SUBSTITUTE(SUBSTITUTE(PROPERTIES[[#This Row],[PURCHASECOST_VALUE]], "PURCHASECOST_", ""), "_VALUE", "")</f>
        <v>ELECTRICENGINE</v>
      </c>
      <c r="AI1008" s="7" t="str" cm="1">
        <f t="array" ref="AI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8" s="9" t="b">
        <v>0</v>
      </c>
      <c r="AK1008" s="8" t="b">
        <v>0</v>
      </c>
    </row>
    <row r="1009" spans="1:37">
      <c r="A1009" s="2" t="s">
        <v>3519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5" t="str">
        <f>_xlfn.XLOOKUP(PROPERTIES[[#This Row],[VEHIDCODE]],CONTROL[VEHIDCODE],CONTROL[ENGLISH])</f>
        <v>Baldwin-Lima-Hamilton RF-615-E</v>
      </c>
      <c r="F1009" t="s">
        <v>577</v>
      </c>
      <c r="G1009" s="45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8">
        <v>105</v>
      </c>
      <c r="R1009">
        <v>1500</v>
      </c>
      <c r="S1009">
        <v>120</v>
      </c>
      <c r="T1009" s="25">
        <v>263</v>
      </c>
      <c r="U1009" s="25">
        <f>IFERROR(PROPERTIES[[#This Row],[TE_STARTING_KN]]/(PROPERTIES[[#This Row],[WEIGHT]]*9.81),0)</f>
        <v>0.25532741129071407</v>
      </c>
      <c r="V1009" s="25">
        <v>0</v>
      </c>
      <c r="W1009" s="21">
        <f>ROUND(IF(IFERROR(PROPERTIES[[#This Row],[TE_COEFFICIENT_CALC]],0)=0,PROPERTIES[[#This Row],[TE_COEFFICIENT_MANUAL]],PROPERTIES[[#This Row],[TE_COEFFICIENT_CALC]]),3)</f>
        <v>0.255</v>
      </c>
      <c r="X1009" s="44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1">
        <v>0</v>
      </c>
      <c r="Z1009" s="7">
        <v>0</v>
      </c>
      <c r="AA1009" t="s">
        <v>246</v>
      </c>
      <c r="AB1009" t="s">
        <v>238</v>
      </c>
      <c r="AC1009" t="s">
        <v>238</v>
      </c>
      <c r="AD1009" s="2" t="s">
        <v>238</v>
      </c>
      <c r="AE1009" s="8" t="s">
        <v>253</v>
      </c>
      <c r="AF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9" s="2" t="str">
        <f>SUBSTITUTE(SUBSTITUTE(PROPERTIES[[#This Row],[PURCHASECOST_VALUE]], "PURCHASECOST_", ""), "_VALUE", "")</f>
        <v>DIESELENGINE</v>
      </c>
      <c r="AI1009" s="7" t="str" cm="1">
        <f t="array" ref="AI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9" s="9" t="b">
        <v>0</v>
      </c>
      <c r="AK1009" s="8" t="b">
        <v>0</v>
      </c>
    </row>
    <row r="1010" spans="1:37">
      <c r="A1010" s="2" t="s">
        <v>3520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5" t="str">
        <f>_xlfn.XLOOKUP(PROPERTIES[[#This Row],[VEHIDCODE]],CONTROL[VEHIDCODE],CONTROL[ENGLISH])</f>
        <v>EE/Dick, Kerr &amp; Co/Vulcan Foundry DE2</v>
      </c>
      <c r="F1010" t="s">
        <v>812</v>
      </c>
      <c r="G1010" s="45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8">
        <v>113</v>
      </c>
      <c r="R1010">
        <v>1710</v>
      </c>
      <c r="S1010">
        <v>97</v>
      </c>
      <c r="T1010" s="25">
        <v>268.2</v>
      </c>
      <c r="U1010" s="25">
        <f>IFERROR(PROPERTIES[[#This Row],[TE_STARTING_KN]]/(PROPERTIES[[#This Row],[WEIGHT]]*9.81),0)</f>
        <v>0.24194203133880002</v>
      </c>
      <c r="V1010" s="25">
        <v>0</v>
      </c>
      <c r="W1010" s="21">
        <f>ROUND(IF(IFERROR(PROPERTIES[[#This Row],[TE_COEFFICIENT_CALC]],0)=0,PROPERTIES[[#This Row],[TE_COEFFICIENT_MANUAL]],PROPERTIES[[#This Row],[TE_COEFFICIENT_CALC]]),3)</f>
        <v>0.24199999999999999</v>
      </c>
      <c r="X1010" s="44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1">
        <v>0</v>
      </c>
      <c r="Z1010" s="7">
        <v>0</v>
      </c>
      <c r="AA1010" t="s">
        <v>242</v>
      </c>
      <c r="AB1010" t="s">
        <v>238</v>
      </c>
      <c r="AC1010" t="s">
        <v>238</v>
      </c>
      <c r="AD1010" s="2" t="s">
        <v>238</v>
      </c>
      <c r="AE1010" s="8" t="s">
        <v>253</v>
      </c>
      <c r="AF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0" s="2" t="str">
        <f>SUBSTITUTE(SUBSTITUTE(PROPERTIES[[#This Row],[PURCHASECOST_VALUE]], "PURCHASECOST_", ""), "_VALUE", "")</f>
        <v>DIESELENGINE</v>
      </c>
      <c r="AI1010" s="7" t="str" cm="1">
        <f t="array" ref="AI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0" s="9" t="b">
        <v>0</v>
      </c>
      <c r="AK1010" s="8" t="b">
        <v>0</v>
      </c>
    </row>
    <row r="1011" spans="1:37">
      <c r="A1011" t="s">
        <v>3570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5" t="str">
        <f>_xlfn.XLOOKUP(PROPERTIES[[#This Row],[VEHIDCODE]],CONTROL[VEHIDCODE],CONTROL[ENGLISH])</f>
        <v>Ingeteam TD2000 series</v>
      </c>
      <c r="F1011" t="s">
        <v>634</v>
      </c>
      <c r="G1011" s="45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8">
        <v>62</v>
      </c>
      <c r="R1011">
        <v>1600</v>
      </c>
      <c r="S1011">
        <v>80</v>
      </c>
      <c r="T1011" s="25">
        <v>260</v>
      </c>
      <c r="U1011" s="25">
        <f>IFERROR(PROPERTIES[[#This Row],[TE_STARTING_KN]]/(PROPERTIES[[#This Row],[WEIGHT]]*9.81),0)</f>
        <v>0.42747689980599124</v>
      </c>
      <c r="V1011" s="25">
        <v>0</v>
      </c>
      <c r="W1011" s="21">
        <f>ROUND(IF(IFERROR(PROPERTIES[[#This Row],[TE_COEFFICIENT_CALC]],0)=0,PROPERTIES[[#This Row],[TE_COEFFICIENT_MANUAL]],PROPERTIES[[#This Row],[TE_COEFFICIENT_CALC]]),3)</f>
        <v>0.42699999999999999</v>
      </c>
      <c r="X1011" s="44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1">
        <v>0</v>
      </c>
      <c r="Z1011" s="7">
        <v>0</v>
      </c>
      <c r="AA1011" t="s">
        <v>246</v>
      </c>
      <c r="AB1011" t="s">
        <v>240</v>
      </c>
      <c r="AC1011" t="s">
        <v>238</v>
      </c>
      <c r="AD1011" s="2" t="s">
        <v>238</v>
      </c>
      <c r="AE1011" s="8" t="s">
        <v>253</v>
      </c>
      <c r="AF1011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1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1" s="2" t="str">
        <f>SUBSTITUTE(SUBSTITUTE(PROPERTIES[[#This Row],[PURCHASECOST_VALUE]], "PURCHASECOST_", ""), "_VALUE", "")</f>
        <v>DIESELENGINE</v>
      </c>
      <c r="AI1011" s="7" t="str" cm="1">
        <f t="array" ref="AI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1" s="9" t="b">
        <v>0</v>
      </c>
      <c r="AK1011" s="8" t="b">
        <v>0</v>
      </c>
    </row>
    <row r="1012" spans="1:37">
      <c r="A1012" s="2" t="s">
        <v>3562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5" t="str">
        <f>_xlfn.XLOOKUP(PROPERTIES[[#This Row],[VEHIDCODE]],CONTROL[VEHIDCODE],CONTROL[ENGLISH])</f>
        <v>Tulloch 0-6-0DM 'W' Class</v>
      </c>
      <c r="F1012" t="s">
        <v>580</v>
      </c>
      <c r="G1012" s="45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8">
        <v>110</v>
      </c>
      <c r="R1012">
        <v>2700</v>
      </c>
      <c r="S1012">
        <v>113</v>
      </c>
      <c r="T1012" s="25">
        <v>267</v>
      </c>
      <c r="U1012" s="24">
        <f>IFERROR(PROPERTIES[[#This Row],[TE_STARTING_KN]]/(PROPERTIES[[#This Row],[WEIGHT]]*9.81),0)</f>
        <v>0.24742841256602721</v>
      </c>
      <c r="V1012" s="24">
        <v>0</v>
      </c>
      <c r="W1012" s="21">
        <f>ROUND(IF(IFERROR(PROPERTIES[[#This Row],[TE_COEFFICIENT_CALC]],0)=0,PROPERTIES[[#This Row],[TE_COEFFICIENT_MANUAL]],PROPERTIES[[#This Row],[TE_COEFFICIENT_CALC]]),3)</f>
        <v>0.247</v>
      </c>
      <c r="X1012" s="9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1">
        <v>0</v>
      </c>
      <c r="Z1012" s="7">
        <v>0</v>
      </c>
      <c r="AA1012" t="s">
        <v>241</v>
      </c>
      <c r="AB1012" t="s">
        <v>238</v>
      </c>
      <c r="AC1012" t="s">
        <v>238</v>
      </c>
      <c r="AD1012" s="2" t="s">
        <v>238</v>
      </c>
      <c r="AE1012" s="8" t="s">
        <v>253</v>
      </c>
      <c r="AF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2" s="2" t="str">
        <f>SUBSTITUTE(SUBSTITUTE(PROPERTIES[[#This Row],[PURCHASECOST_VALUE]], "PURCHASECOST_", ""), "_VALUE", "")</f>
        <v>DIESELENGINE</v>
      </c>
      <c r="AI1012" s="7" t="str" cm="1">
        <f t="array" ref="AI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12" s="9" t="b">
        <v>0</v>
      </c>
      <c r="AK1012" s="8" t="b">
        <v>0</v>
      </c>
    </row>
    <row r="1013" spans="1:37">
      <c r="A1013" s="2" t="s">
        <v>3574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5" t="str">
        <f>_xlfn.XLOOKUP(PROPERTIES[[#This Row],[VEHIDCODE]],CONTROL[VEHIDCODE],CONTROL[ENGLISH])</f>
        <v>GE 289A Boxcab</v>
      </c>
      <c r="F1013" t="s">
        <v>612</v>
      </c>
      <c r="G1013" s="45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5">
        <v>250</v>
      </c>
      <c r="U1013" s="24">
        <f>IFERROR(PROPERTIES[[#This Row],[TE_STARTING_KN]]/(PROPERTIES[[#This Row],[WEIGHT]]*9.81),0)</f>
        <v>0.38036119098696125</v>
      </c>
      <c r="V1013" s="25">
        <v>0</v>
      </c>
      <c r="W1013" s="21">
        <f>ROUND(IF(IFERROR(PROPERTIES[[#This Row],[TE_COEFFICIENT_CALC]],0)=0,PROPERTIES[[#This Row],[TE_COEFFICIENT_MANUAL]],PROPERTIES[[#This Row],[TE_COEFFICIENT_CALC]]),3)</f>
        <v>0.38</v>
      </c>
      <c r="X1013" s="44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1">
        <v>0</v>
      </c>
      <c r="Z1013" s="7">
        <v>0</v>
      </c>
      <c r="AA1013" t="s">
        <v>246</v>
      </c>
      <c r="AB1013" t="s">
        <v>238</v>
      </c>
      <c r="AC1013" t="s">
        <v>238</v>
      </c>
      <c r="AD1013" s="2" t="s">
        <v>238</v>
      </c>
      <c r="AE1013" s="8" t="s">
        <v>253</v>
      </c>
      <c r="AF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3" s="2" t="str">
        <f>SUBSTITUTE(SUBSTITUTE(PROPERTIES[[#This Row],[PURCHASECOST_VALUE]], "PURCHASECOST_", ""), "_VALUE", "")</f>
        <v>ELECTRICENGINE</v>
      </c>
      <c r="AI1013" s="7" t="str" cm="1">
        <f t="array" ref="AI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3" s="9" t="b">
        <v>0</v>
      </c>
      <c r="AK1013" s="8" t="b">
        <v>0</v>
      </c>
    </row>
    <row r="1014" spans="1:37">
      <c r="A1014" s="2" t="s">
        <v>3577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5" t="str">
        <f>_xlfn.XLOOKUP(PROPERTIES[[#This Row],[VEHIDCODE]],CONTROL[VEHIDCODE],CONTROL[ENGLISH])</f>
        <v>Alsthom EC 386</v>
      </c>
      <c r="F1014" t="s">
        <v>612</v>
      </c>
      <c r="G1014" s="45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8">
        <v>98</v>
      </c>
      <c r="R1014">
        <f>INT(2540*1.341)</f>
        <v>3406</v>
      </c>
      <c r="S1014">
        <v>90</v>
      </c>
      <c r="T1014" s="25">
        <v>0</v>
      </c>
      <c r="U1014" s="25">
        <f>IFERROR(PROPERTIES[[#This Row],[TE_STARTING_KN]]/(PROPERTIES[[#This Row],[WEIGHT]]*9.81),0)</f>
        <v>0</v>
      </c>
      <c r="V1014" s="25">
        <v>0.25</v>
      </c>
      <c r="W1014" s="21">
        <f>ROUND(IF(IFERROR(PROPERTIES[[#This Row],[TE_COEFFICIENT_CALC]],0)=0,PROPERTIES[[#This Row],[TE_COEFFICIENT_MANUAL]],PROPERTIES[[#This Row],[TE_COEFFICIENT_CALC]]),3)</f>
        <v>0.25</v>
      </c>
      <c r="X1014" s="44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1">
        <v>0</v>
      </c>
      <c r="Z1014" s="7">
        <v>0</v>
      </c>
      <c r="AA1014" t="s">
        <v>246</v>
      </c>
      <c r="AB1014" t="s">
        <v>238</v>
      </c>
      <c r="AC1014" t="s">
        <v>238</v>
      </c>
      <c r="AD1014" s="2" t="s">
        <v>238</v>
      </c>
      <c r="AE1014" s="8" t="s">
        <v>253</v>
      </c>
      <c r="AF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4" s="2" t="str">
        <f>SUBSTITUTE(SUBSTITUTE(PROPERTIES[[#This Row],[PURCHASECOST_VALUE]], "PURCHASECOST_", ""), "_VALUE", "")</f>
        <v>ELECTRICENGINE</v>
      </c>
      <c r="AI1014" s="7" t="str" cm="1">
        <f t="array" ref="AI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4" s="9" t="b">
        <v>0</v>
      </c>
      <c r="AK1014" s="8" t="b">
        <v>0</v>
      </c>
    </row>
    <row r="1015" spans="1:37">
      <c r="A1015" t="s">
        <v>3582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5" t="str">
        <f>_xlfn.XLOOKUP(PROPERTIES[[#This Row],[VEHIDCODE]],CONTROL[VEHIDCODE],CONTROL[ENGLISH])</f>
        <v>Chesta Casagrande E650</v>
      </c>
      <c r="F1015" t="s">
        <v>612</v>
      </c>
      <c r="G1015" s="45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8">
        <v>60</v>
      </c>
      <c r="R1015">
        <v>1140</v>
      </c>
      <c r="S1015">
        <v>30</v>
      </c>
      <c r="T1015" s="25">
        <v>0</v>
      </c>
      <c r="U1015" s="25">
        <f>IFERROR(PROPERTIES[[#This Row],[TE_STARTING_KN]]/(PROPERTIES[[#This Row],[WEIGHT]]*9.81),0)</f>
        <v>0</v>
      </c>
      <c r="V1015" s="25">
        <v>0.25</v>
      </c>
      <c r="W1015" s="21">
        <f>ROUND(IF(IFERROR(PROPERTIES[[#This Row],[TE_COEFFICIENT_CALC]],0)=0,PROPERTIES[[#This Row],[TE_COEFFICIENT_MANUAL]],PROPERTIES[[#This Row],[TE_COEFFICIENT_CALC]]),3)</f>
        <v>0.25</v>
      </c>
      <c r="X1015" s="44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1">
        <v>0</v>
      </c>
      <c r="Z1015" s="7">
        <v>0</v>
      </c>
      <c r="AA1015" t="s">
        <v>246</v>
      </c>
      <c r="AB1015" t="s">
        <v>238</v>
      </c>
      <c r="AC1015" t="s">
        <v>238</v>
      </c>
      <c r="AD1015" s="2" t="s">
        <v>238</v>
      </c>
      <c r="AE1015" s="8" t="s">
        <v>253</v>
      </c>
      <c r="AF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5" s="2" t="str">
        <f>SUBSTITUTE(SUBSTITUTE(PROPERTIES[[#This Row],[PURCHASECOST_VALUE]], "PURCHASECOST_", ""), "_VALUE", "")</f>
        <v>ELECTRICENGINE</v>
      </c>
      <c r="AI1015" s="7" t="str" cm="1">
        <f t="array" ref="AI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5" s="9" t="b">
        <v>0</v>
      </c>
      <c r="AK1015" s="8" t="b">
        <v>0</v>
      </c>
    </row>
    <row r="1016" spans="1:37">
      <c r="A1016" s="2" t="s">
        <v>3575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5" t="str">
        <f>_xlfn.XLOOKUP(PROPERTIES[[#This Row],[VEHIDCODE]],CONTROL[VEHIDCODE],CONTROL[ENGLISH])</f>
        <v>Breda Marelli E32</v>
      </c>
      <c r="F1016" t="s">
        <v>612</v>
      </c>
      <c r="G1016" s="45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8">
        <v>136</v>
      </c>
      <c r="R1016">
        <v>3600</v>
      </c>
      <c r="S1016">
        <v>130</v>
      </c>
      <c r="T1016" s="25">
        <v>0</v>
      </c>
      <c r="U1016" s="25">
        <f>IFERROR(PROPERTIES[[#This Row],[TE_STARTING_KN]]/(PROPERTIES[[#This Row],[WEIGHT]]*9.81),0)</f>
        <v>0</v>
      </c>
      <c r="V1016" s="25">
        <v>0.25</v>
      </c>
      <c r="W1016" s="21">
        <f>ROUND(IF(IFERROR(PROPERTIES[[#This Row],[TE_COEFFICIENT_CALC]],0)=0,PROPERTIES[[#This Row],[TE_COEFFICIENT_MANUAL]],PROPERTIES[[#This Row],[TE_COEFFICIENT_CALC]]),3)</f>
        <v>0.25</v>
      </c>
      <c r="X1016" s="44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1">
        <v>0</v>
      </c>
      <c r="Z1016" s="7">
        <v>0</v>
      </c>
      <c r="AA1016" t="s">
        <v>246</v>
      </c>
      <c r="AB1016" t="s">
        <v>238</v>
      </c>
      <c r="AC1016" t="s">
        <v>238</v>
      </c>
      <c r="AD1016" s="2" t="s">
        <v>238</v>
      </c>
      <c r="AE1016" s="8" t="s">
        <v>253</v>
      </c>
      <c r="AF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6" s="2" t="str">
        <f>SUBSTITUTE(SUBSTITUTE(PROPERTIES[[#This Row],[PURCHASECOST_VALUE]], "PURCHASECOST_", ""), "_VALUE", "")</f>
        <v>ELECTRICENGINE</v>
      </c>
      <c r="AI1016" s="7" t="str" cm="1">
        <f t="array" ref="AI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6" s="9" t="b">
        <v>0</v>
      </c>
      <c r="AK1016" s="8" t="b">
        <v>0</v>
      </c>
    </row>
    <row r="1017" spans="1:37">
      <c r="A1017" s="2" t="s">
        <v>3585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5" t="str">
        <f>_xlfn.XLOOKUP(PROPERTIES[[#This Row],[VEHIDCODE]],CONTROL[VEHIDCODE],CONTROL[ENGLISH])</f>
        <v>GE ES58ACi</v>
      </c>
      <c r="F1017" t="s">
        <v>597</v>
      </c>
      <c r="G1017" s="45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8">
        <v>160</v>
      </c>
      <c r="R1017">
        <v>6200</v>
      </c>
      <c r="S1017">
        <v>70</v>
      </c>
      <c r="T1017" s="25">
        <v>907</v>
      </c>
      <c r="U1017" s="25">
        <f>IFERROR(PROPERTIES[[#This Row],[TE_STARTING_KN]]/(PROPERTIES[[#This Row],[WEIGHT]]*9.81),0)</f>
        <v>0.5778542303771661</v>
      </c>
      <c r="V1017" s="25">
        <v>0</v>
      </c>
      <c r="W1017" s="21">
        <f>ROUND(IF(IFERROR(PROPERTIES[[#This Row],[TE_COEFFICIENT_CALC]],0)=0,PROPERTIES[[#This Row],[TE_COEFFICIENT_MANUAL]],PROPERTIES[[#This Row],[TE_COEFFICIENT_CALC]]),3)</f>
        <v>0.57799999999999996</v>
      </c>
      <c r="X1017" s="44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1">
        <v>0</v>
      </c>
      <c r="Z1017" s="7">
        <v>0</v>
      </c>
      <c r="AA1017" t="s">
        <v>246</v>
      </c>
      <c r="AB1017" t="s">
        <v>238</v>
      </c>
      <c r="AC1017" t="s">
        <v>238</v>
      </c>
      <c r="AD1017" s="2" t="s">
        <v>238</v>
      </c>
      <c r="AE1017" s="8" t="s">
        <v>253</v>
      </c>
      <c r="AF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7" s="2" t="str">
        <f>SUBSTITUTE(SUBSTITUTE(PROPERTIES[[#This Row],[PURCHASECOST_VALUE]], "PURCHASECOST_", ""), "_VALUE", "")</f>
        <v>DIESELENGINE</v>
      </c>
      <c r="AI1017" s="7" t="str" cm="1">
        <f t="array" ref="AI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7" s="9" t="b">
        <v>0</v>
      </c>
      <c r="AK1017" s="8" t="b">
        <v>0</v>
      </c>
    </row>
    <row r="1018" spans="1:37">
      <c r="A1018" s="2" t="s">
        <v>3626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5" t="str">
        <f>_xlfn.XLOOKUP(PROPERTIES[[#This Row],[VEHIDCODE]],CONTROL[VEHIDCODE],CONTROL[ENGLISH])</f>
        <v>Ganz-MAVAG Ikarus 725.00</v>
      </c>
      <c r="F1018" t="s">
        <v>665</v>
      </c>
      <c r="G1018" s="45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8">
        <v>32</v>
      </c>
      <c r="R1018">
        <v>250</v>
      </c>
      <c r="S1018">
        <v>100</v>
      </c>
      <c r="T1018" s="25">
        <v>0</v>
      </c>
      <c r="U1018" s="25">
        <f>IFERROR(PROPERTIES[[#This Row],[TE_STARTING_KN]]/(PROPERTIES[[#This Row],[WEIGHT]]*9.81),0)</f>
        <v>0</v>
      </c>
      <c r="V1018" s="25">
        <v>0.2</v>
      </c>
      <c r="W1018" s="21">
        <f>ROUND(IF(IFERROR(PROPERTIES[[#This Row],[TE_COEFFICIENT_CALC]],0)=0,PROPERTIES[[#This Row],[TE_COEFFICIENT_MANUAL]],PROPERTIES[[#This Row],[TE_COEFFICIENT_CALC]]),3)</f>
        <v>0.2</v>
      </c>
      <c r="X1018" s="44" cm="1">
        <f t="array" ref="X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8" s="31">
        <v>0</v>
      </c>
      <c r="Z1018" s="7">
        <v>7</v>
      </c>
      <c r="AA1018" s="7" t="s">
        <v>2013</v>
      </c>
      <c r="AB1018" t="s">
        <v>238</v>
      </c>
      <c r="AC1018" t="s">
        <v>238</v>
      </c>
      <c r="AD1018" s="2" t="s">
        <v>238</v>
      </c>
      <c r="AE1018" s="8" t="s">
        <v>253</v>
      </c>
      <c r="AF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018" s="2" t="str">
        <f>SUBSTITUTE(SUBSTITUTE(PROPERTIES[[#This Row],[PURCHASECOST_VALUE]], "PURCHASECOST_", ""), "_VALUE", "")</f>
        <v>DIESELRAILBUS</v>
      </c>
      <c r="AI1018" s="7" t="str" cm="1">
        <f t="array" ref="AI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8" s="9" t="b">
        <v>0</v>
      </c>
      <c r="AK1018" s="8" t="b">
        <v>0</v>
      </c>
    </row>
    <row r="1019" spans="1:37">
      <c r="A1019" s="2" t="s">
        <v>3643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5" t="str">
        <f>_xlfn.XLOOKUP(PROPERTIES[[#This Row],[VEHIDCODE]],CONTROL[VEHIDCODE],CONTROL[ENGLISH])</f>
        <v>Alstom Metropolis</v>
      </c>
      <c r="F1019" t="s">
        <v>641</v>
      </c>
      <c r="G1019" s="45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8">
        <v>33</v>
      </c>
      <c r="R1019">
        <v>1500</v>
      </c>
      <c r="S1019">
        <v>120</v>
      </c>
      <c r="T1019" s="25">
        <v>0</v>
      </c>
      <c r="U1019" s="25">
        <v>0.3</v>
      </c>
      <c r="V1019" s="25">
        <v>0</v>
      </c>
      <c r="W1019" s="21">
        <f>ROUND(IF(IFERROR(PROPERTIES[[#This Row],[TE_COEFFICIENT_CALC]],0)=0,PROPERTIES[[#This Row],[TE_COEFFICIENT_MANUAL]],PROPERTIES[[#This Row],[TE_COEFFICIENT_CALC]]),3)</f>
        <v>0.3</v>
      </c>
      <c r="X1019" s="44" cm="1">
        <f t="array" ref="X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19" s="31">
        <v>250</v>
      </c>
      <c r="Z1019" s="7">
        <v>8</v>
      </c>
      <c r="AA1019" s="7" t="s">
        <v>249</v>
      </c>
      <c r="AB1019" s="7" t="s">
        <v>2012</v>
      </c>
      <c r="AC1019" t="s">
        <v>239</v>
      </c>
      <c r="AD1019" s="2" t="s">
        <v>245</v>
      </c>
      <c r="AE1019" s="8" t="s">
        <v>253</v>
      </c>
      <c r="AF1019" s="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1019" s="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1019" s="2" t="str">
        <f>SUBSTITUTE(SUBSTITUTE(PROPERTIES[[#This Row],[PURCHASECOST_VALUE]], "PURCHASECOST_", ""), "_VALUE", "")</f>
        <v>METRO</v>
      </c>
      <c r="AI1019" s="7" t="str" cm="1">
        <f t="array" ref="AI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9" s="9" t="b">
        <v>0</v>
      </c>
      <c r="AK1019" s="8" t="b">
        <v>0</v>
      </c>
    </row>
    <row r="1020" spans="1:37">
      <c r="A1020" s="2" t="s">
        <v>3646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5" t="str">
        <f>_xlfn.XLOOKUP(PROPERTIES[[#This Row],[VEHIDCODE]],CONTROL[VEHIDCODE],CONTROL[ENGLISH])</f>
        <v>Sharp Brothers 2-2-2 'Patriot'</v>
      </c>
      <c r="F1020" t="s">
        <v>677</v>
      </c>
      <c r="G1020" s="45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8">
        <v>60</v>
      </c>
      <c r="R1020">
        <v>180</v>
      </c>
      <c r="S1020">
        <v>48</v>
      </c>
      <c r="T1020" s="25">
        <v>18.100000000000001</v>
      </c>
      <c r="U1020" s="24">
        <f>IFERROR(PROPERTIES[[#This Row],[TE_STARTING_KN]]/(PROPERTIES[[#This Row],[WEIGHT]]*9.81),0)</f>
        <v>3.0750934420659192E-2</v>
      </c>
      <c r="V1020" s="24">
        <v>0</v>
      </c>
      <c r="W1020" s="21">
        <f>ROUND(IF(IFERROR(PROPERTIES[[#This Row],[TE_COEFFICIENT_CALC]],0)=0,PROPERTIES[[#This Row],[TE_COEFFICIENT_MANUAL]],PROPERTIES[[#This Row],[TE_COEFFICIENT_CALC]]),3)</f>
        <v>3.1E-2</v>
      </c>
      <c r="X1020" s="9" cm="1">
        <f t="array" ref="X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0" s="31">
        <v>0</v>
      </c>
      <c r="Z1020" s="7">
        <v>0</v>
      </c>
      <c r="AA1020" t="s">
        <v>244</v>
      </c>
      <c r="AB1020" t="s">
        <v>238</v>
      </c>
      <c r="AC1020" t="s">
        <v>238</v>
      </c>
      <c r="AD1020" s="2" t="s">
        <v>238</v>
      </c>
      <c r="AE1020" s="2" t="s">
        <v>253</v>
      </c>
      <c r="AF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0" s="2" t="str">
        <f>SUBSTITUTE(SUBSTITUTE(PROPERTIES[[#This Row],[PURCHASECOST_VALUE]], "PURCHASECOST_", ""), "_VALUE", "")</f>
        <v>STEAMENGINE</v>
      </c>
      <c r="AI1020" s="7" t="str" cm="1">
        <f t="array" ref="AI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20" s="9" t="b">
        <v>0</v>
      </c>
      <c r="AK1020" s="8" t="b">
        <v>0</v>
      </c>
    </row>
    <row r="1021" spans="1:37">
      <c r="A1021" s="2" t="s">
        <v>3656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5" t="str">
        <f>_xlfn.XLOOKUP(PROPERTIES[[#This Row],[VEHIDCODE]],CONTROL[VEHIDCODE],CONTROL[ENGLISH])</f>
        <v>Heavyweight Regional Coach</v>
      </c>
      <c r="G1021" s="45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8">
        <v>60</v>
      </c>
      <c r="R1021">
        <v>0</v>
      </c>
      <c r="S1021">
        <v>145</v>
      </c>
      <c r="T1021" s="25">
        <v>0</v>
      </c>
      <c r="U1021" s="24">
        <f>IFERROR(PROPERTIES[[#This Row],[TE_STARTING_KN]]/(PROPERTIES[[#This Row],[WEIGHT]]*9.81),0)</f>
        <v>0</v>
      </c>
      <c r="V1021" s="24">
        <v>0.3</v>
      </c>
      <c r="W1021" s="21">
        <f>ROUND(IF(IFERROR(PROPERTIES[[#This Row],[TE_COEFFICIENT_CALC]],0)=0,PROPERTIES[[#This Row],[TE_COEFFICIENT_MANUAL]],PROPERTIES[[#This Row],[TE_COEFFICIENT_CALC]]),3)</f>
        <v>0.3</v>
      </c>
      <c r="X1021" s="43" cm="1">
        <f t="array" ref="X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1" s="31">
        <v>0</v>
      </c>
      <c r="Z1021" s="7">
        <v>0</v>
      </c>
      <c r="AA1021" s="7" t="s">
        <v>249</v>
      </c>
      <c r="AB1021" s="7" t="s">
        <v>241</v>
      </c>
      <c r="AC1021" t="s">
        <v>238</v>
      </c>
      <c r="AD1021" s="2" t="s">
        <v>238</v>
      </c>
      <c r="AE1021" s="8" t="s">
        <v>253</v>
      </c>
      <c r="AF1021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1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1" s="2" t="str">
        <f>SUBSTITUTE(SUBSTITUTE(PROPERTIES[[#This Row],[PURCHASECOST_VALUE]], "PURCHASECOST_", ""), "_VALUE", "")</f>
        <v>COACH</v>
      </c>
      <c r="AI1021" s="7" t="str" cm="1">
        <f t="array" ref="AI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1" s="9" t="b">
        <v>0</v>
      </c>
      <c r="AK1021" s="8" t="b">
        <v>0</v>
      </c>
    </row>
    <row r="1022" spans="1:37">
      <c r="A1022" s="2" t="s">
        <v>3661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5" t="str">
        <f>_xlfn.XLOOKUP(PROPERTIES[[#This Row],[VEHIDCODE]],CONTROL[VEHIDCODE],CONTROL[ENGLISH])</f>
        <v>Early American End-Platform Coach [Larger]</v>
      </c>
      <c r="G1022" s="45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8">
        <v>50</v>
      </c>
      <c r="R1022">
        <v>0</v>
      </c>
      <c r="S1022">
        <v>110</v>
      </c>
      <c r="T1022" s="25">
        <v>0</v>
      </c>
      <c r="U1022" s="25">
        <f>IFERROR(PROPERTIES[[#This Row],[TE_STARTING_KN]]/(PROPERTIES[[#This Row],[WEIGHT]]*9.81),0)</f>
        <v>0</v>
      </c>
      <c r="V1022" s="25">
        <v>0.3</v>
      </c>
      <c r="W1022" s="21">
        <f>ROUND(IF(IFERROR(PROPERTIES[[#This Row],[TE_COEFFICIENT_CALC]],0)=0,PROPERTIES[[#This Row],[TE_COEFFICIENT_MANUAL]],PROPERTIES[[#This Row],[TE_COEFFICIENT_CALC]]),3)</f>
        <v>0.3</v>
      </c>
      <c r="X1022" s="44" cm="1">
        <f t="array" ref="X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2" s="31">
        <v>0</v>
      </c>
      <c r="Z1022" s="7">
        <v>0</v>
      </c>
      <c r="AA1022" s="7" t="s">
        <v>2011</v>
      </c>
      <c r="AB1022" t="s">
        <v>238</v>
      </c>
      <c r="AC1022" t="s">
        <v>238</v>
      </c>
      <c r="AD1022" s="2" t="s">
        <v>238</v>
      </c>
      <c r="AE1022" s="8" t="s">
        <v>253</v>
      </c>
      <c r="AF1022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2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2" s="2" t="str">
        <f>SUBSTITUTE(SUBSTITUTE(PROPERTIES[[#This Row],[PURCHASECOST_VALUE]], "PURCHASECOST_", ""), "_VALUE", "")</f>
        <v>COACH</v>
      </c>
      <c r="AI1022" s="7" t="str" cm="1">
        <f t="array" ref="AI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2" s="9" t="b">
        <v>0</v>
      </c>
      <c r="AK1022" s="8" t="b">
        <v>0</v>
      </c>
    </row>
    <row r="1023" spans="1:37">
      <c r="A1023" s="2" t="s">
        <v>3660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5" t="str">
        <f>_xlfn.XLOOKUP(PROPERTIES[[#This Row],[VEHIDCODE]],CONTROL[VEHIDCODE],CONTROL[ENGLISH])</f>
        <v>Early American End-Platform Mail Coach [Larger]</v>
      </c>
      <c r="G1023" s="45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8">
        <v>50</v>
      </c>
      <c r="R1023">
        <v>0</v>
      </c>
      <c r="S1023">
        <v>110</v>
      </c>
      <c r="T1023" s="25">
        <v>0</v>
      </c>
      <c r="U1023" s="25">
        <f>IFERROR(PROPERTIES[[#This Row],[TE_STARTING_KN]]/(PROPERTIES[[#This Row],[WEIGHT]]*9.81),0)</f>
        <v>0</v>
      </c>
      <c r="V1023" s="25">
        <v>0.3</v>
      </c>
      <c r="W1023" s="21">
        <f>ROUND(IF(IFERROR(PROPERTIES[[#This Row],[TE_COEFFICIENT_CALC]],0)=0,PROPERTIES[[#This Row],[TE_COEFFICIENT_MANUAL]],PROPERTIES[[#This Row],[TE_COEFFICIENT_CALC]]),3)</f>
        <v>0.3</v>
      </c>
      <c r="X1023" s="44" cm="1">
        <f t="array" ref="X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3" s="31">
        <v>0</v>
      </c>
      <c r="Z1023" s="7">
        <v>0</v>
      </c>
      <c r="AA1023" s="7" t="s">
        <v>2011</v>
      </c>
      <c r="AB1023" t="s">
        <v>238</v>
      </c>
      <c r="AC1023" t="s">
        <v>238</v>
      </c>
      <c r="AD1023" s="2" t="s">
        <v>238</v>
      </c>
      <c r="AE1023" s="8" t="s">
        <v>253</v>
      </c>
      <c r="AF102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3" s="2" t="str">
        <f>SUBSTITUTE(SUBSTITUTE(PROPERTIES[[#This Row],[PURCHASECOST_VALUE]], "PURCHASECOST_", ""), "_VALUE", "")</f>
        <v>COACH</v>
      </c>
      <c r="AI1023" s="7" t="str" cm="1">
        <f t="array" ref="AI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23" s="9" t="b">
        <v>0</v>
      </c>
      <c r="AK1023" s="8" t="b">
        <v>0</v>
      </c>
    </row>
    <row r="1024" spans="1:37">
      <c r="A1024" s="2" t="s">
        <v>3667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5" t="str">
        <f>_xlfn.XLOOKUP(PROPERTIES[[#This Row],[VEHIDCODE]],CONTROL[VEHIDCODE],CONTROL[ENGLISH])</f>
        <v>Lightweight Commuter Coach</v>
      </c>
      <c r="G1024" s="45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8">
        <v>34</v>
      </c>
      <c r="R1024">
        <v>0</v>
      </c>
      <c r="S1024">
        <v>135</v>
      </c>
      <c r="T1024" s="25">
        <v>0</v>
      </c>
      <c r="U1024" s="25">
        <f>IFERROR(PROPERTIES[[#This Row],[TE_STARTING_KN]]/(PROPERTIES[[#This Row],[WEIGHT]]*9.81),0)</f>
        <v>0</v>
      </c>
      <c r="V1024" s="25">
        <v>0.3</v>
      </c>
      <c r="W1024" s="21">
        <f>ROUND(IF(IFERROR(PROPERTIES[[#This Row],[TE_COEFFICIENT_CALC]],0)=0,PROPERTIES[[#This Row],[TE_COEFFICIENT_MANUAL]],PROPERTIES[[#This Row],[TE_COEFFICIENT_CALC]]),3)</f>
        <v>0.3</v>
      </c>
      <c r="X1024" s="44" cm="1">
        <f t="array" ref="X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4" s="31">
        <v>0</v>
      </c>
      <c r="Z1024" s="7">
        <v>0</v>
      </c>
      <c r="AA1024" s="7" t="s">
        <v>244</v>
      </c>
      <c r="AB1024" t="s">
        <v>238</v>
      </c>
      <c r="AC1024" t="s">
        <v>238</v>
      </c>
      <c r="AD1024" s="2" t="s">
        <v>238</v>
      </c>
      <c r="AE1024" s="8" t="s">
        <v>253</v>
      </c>
      <c r="AF102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4" s="2" t="str">
        <f>SUBSTITUTE(SUBSTITUTE(PROPERTIES[[#This Row],[PURCHASECOST_VALUE]], "PURCHASECOST_", ""), "_VALUE", "")</f>
        <v>COACH</v>
      </c>
      <c r="AI1024" s="7" t="str" cm="1">
        <f t="array" ref="AI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4" s="9" t="b">
        <v>0</v>
      </c>
      <c r="AK1024" s="8" t="b">
        <v>0</v>
      </c>
    </row>
    <row r="1025" spans="1:37">
      <c r="A1025" s="2" t="s">
        <v>3669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5" t="str">
        <f>_xlfn.XLOOKUP(PROPERTIES[[#This Row],[VEHIDCODE]],CONTROL[VEHIDCODE],CONTROL[ENGLISH])</f>
        <v>ALCO-GE T-Motor</v>
      </c>
      <c r="F1025" t="s">
        <v>796</v>
      </c>
      <c r="G1025" s="45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8">
        <v>120</v>
      </c>
      <c r="R1025">
        <v>3040</v>
      </c>
      <c r="S1025">
        <v>120</v>
      </c>
      <c r="T1025" s="25">
        <v>290</v>
      </c>
      <c r="U1025" s="25">
        <f>IFERROR(PROPERTIES[[#This Row],[TE_STARTING_KN]]/(PROPERTIES[[#This Row],[WEIGHT]]*9.81),0)</f>
        <v>0.24634726469588855</v>
      </c>
      <c r="V1025" s="25">
        <v>0</v>
      </c>
      <c r="W1025" s="21">
        <f>ROUND(IF(IFERROR(PROPERTIES[[#This Row],[TE_COEFFICIENT_CALC]],0)=0,PROPERTIES[[#This Row],[TE_COEFFICIENT_MANUAL]],PROPERTIES[[#This Row],[TE_COEFFICIENT_CALC]]),3)</f>
        <v>0.246</v>
      </c>
      <c r="X1025" s="44" cm="1">
        <f t="array" ref="X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5" s="31">
        <v>0</v>
      </c>
      <c r="Z1025" s="7">
        <v>0</v>
      </c>
      <c r="AA1025" s="7" t="s">
        <v>244</v>
      </c>
      <c r="AB1025" t="s">
        <v>238</v>
      </c>
      <c r="AC1025" t="s">
        <v>238</v>
      </c>
      <c r="AD1025" s="2" t="s">
        <v>238</v>
      </c>
      <c r="AE1025" s="8" t="s">
        <v>253</v>
      </c>
      <c r="AF1025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5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5" s="2" t="str">
        <f>SUBSTITUTE(SUBSTITUTE(PROPERTIES[[#This Row],[PURCHASECOST_VALUE]], "PURCHASECOST_", ""), "_VALUE", "")</f>
        <v>ELECTRICENGINE</v>
      </c>
      <c r="AI1025" s="7" t="str" cm="1">
        <f t="array" ref="AI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25" s="9" t="b">
        <v>0</v>
      </c>
      <c r="AK1025" s="8" t="b">
        <v>0</v>
      </c>
    </row>
    <row r="1026" spans="1:37">
      <c r="A1026" t="s">
        <v>3672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5" t="str">
        <f>_xlfn.XLOOKUP(PROPERTIES[[#This Row],[VEHIDCODE]],CONTROL[VEHIDCODE],CONTROL[ENGLISH])</f>
        <v>Altoona Works Pennsylvania Railroad DD1</v>
      </c>
      <c r="F1026" t="s">
        <v>796</v>
      </c>
      <c r="G1026" s="45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8">
        <v>142</v>
      </c>
      <c r="R1026">
        <v>3160</v>
      </c>
      <c r="S1026">
        <v>136</v>
      </c>
      <c r="T1026" s="25">
        <v>494</v>
      </c>
      <c r="U1026" s="24">
        <f>IFERROR(PROPERTIES[[#This Row],[TE_STARTING_KN]]/(PROPERTIES[[#This Row],[WEIGHT]]*9.81),0)</f>
        <v>0.35462520279680121</v>
      </c>
      <c r="V1026" s="24">
        <v>0</v>
      </c>
      <c r="W1026" s="21">
        <f>ROUND(IF(IFERROR(PROPERTIES[[#This Row],[TE_COEFFICIENT_CALC]],0)=0,PROPERTIES[[#This Row],[TE_COEFFICIENT_MANUAL]],PROPERTIES[[#This Row],[TE_COEFFICIENT_CALC]]),3)</f>
        <v>0.35499999999999998</v>
      </c>
      <c r="X1026" s="43" cm="1">
        <f t="array" ref="X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026" s="31">
        <v>0</v>
      </c>
      <c r="Z1026" s="7">
        <v>5</v>
      </c>
      <c r="AA1026" s="7" t="s">
        <v>244</v>
      </c>
      <c r="AB1026" s="7" t="s">
        <v>238</v>
      </c>
      <c r="AC1026" t="s">
        <v>238</v>
      </c>
      <c r="AD1026" s="2" t="s">
        <v>238</v>
      </c>
      <c r="AE1026" s="8" t="s">
        <v>253</v>
      </c>
      <c r="AF1026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6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6" s="2" t="str">
        <f>SUBSTITUTE(SUBSTITUTE(PROPERTIES[[#This Row],[PURCHASECOST_VALUE]], "PURCHASECOST_", ""), "_VALUE", "")</f>
        <v>ELECTRICENGINE</v>
      </c>
      <c r="AI1026" s="7" t="str" cm="1">
        <f t="array" ref="AI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26" s="9" t="b">
        <v>0</v>
      </c>
      <c r="AK1026" s="8" t="b">
        <v>0</v>
      </c>
    </row>
    <row r="1027" spans="1:37">
      <c r="A1027" s="2" t="s">
        <v>3677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5" t="str">
        <f>_xlfn.XLOOKUP(PROPERTIES[[#This Row],[VEHIDCODE]],CONTROL[VEHIDCODE],CONTROL[ENGLISH])</f>
        <v>PRR MP70</v>
      </c>
      <c r="F1027" t="s">
        <v>796</v>
      </c>
      <c r="G1027" s="45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8">
        <f>55/2</f>
        <v>27.5</v>
      </c>
      <c r="R1027">
        <v>920</v>
      </c>
      <c r="S1027">
        <v>105</v>
      </c>
      <c r="T1027" s="25">
        <v>0</v>
      </c>
      <c r="U1027" s="25">
        <f>IFERROR(PROPERTIES[[#This Row],[TE_STARTING_KN]]/(PROPERTIES[[#This Row],[WEIGHT]]*9.81),0)</f>
        <v>0</v>
      </c>
      <c r="V1027" s="25">
        <v>0.25</v>
      </c>
      <c r="W1027" s="21">
        <f>ROUND(IF(IFERROR(PROPERTIES[[#This Row],[TE_COEFFICIENT_CALC]],0)=0,PROPERTIES[[#This Row],[TE_COEFFICIENT_MANUAL]],PROPERTIES[[#This Row],[TE_COEFFICIENT_CALC]]),3)</f>
        <v>0.25</v>
      </c>
      <c r="X1027" s="44" cm="1">
        <f t="array" ref="X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27" s="31">
        <v>132</v>
      </c>
      <c r="Z1027" s="7">
        <v>8</v>
      </c>
      <c r="AA1027" s="7" t="s">
        <v>244</v>
      </c>
      <c r="AB1027" s="7" t="s">
        <v>238</v>
      </c>
      <c r="AC1027" t="s">
        <v>238</v>
      </c>
      <c r="AD1027" s="2" t="s">
        <v>238</v>
      </c>
      <c r="AE1027" s="8" t="s">
        <v>253</v>
      </c>
      <c r="AF102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7" s="2" t="str">
        <f>SUBSTITUTE(SUBSTITUTE(PROPERTIES[[#This Row],[PURCHASECOST_VALUE]], "PURCHASECOST_", ""), "_VALUE", "")</f>
        <v>EMU</v>
      </c>
      <c r="AI1027" s="7" t="str" cm="1">
        <f t="array" ref="AI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7" s="9" t="b">
        <v>0</v>
      </c>
      <c r="AK1027" s="8" t="b">
        <v>0</v>
      </c>
    </row>
    <row r="1028" spans="1:37">
      <c r="A1028" s="2" t="s">
        <v>3678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5" t="str">
        <f>_xlfn.XLOOKUP(PROPERTIES[[#This Row],[VEHIDCODE]],CONTROL[VEHIDCODE],CONTROL[ENGLISH])</f>
        <v>Pullman Standard LIRR MP75 ACMU</v>
      </c>
      <c r="F1028" t="s">
        <v>796</v>
      </c>
      <c r="G1028" s="45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8">
        <f>52/2</f>
        <v>26</v>
      </c>
      <c r="R1028">
        <v>800</v>
      </c>
      <c r="S1028">
        <v>130</v>
      </c>
      <c r="T1028" s="25">
        <v>0</v>
      </c>
      <c r="U1028" s="25">
        <f>IFERROR(PROPERTIES[[#This Row],[TE_STARTING_KN]]/(PROPERTIES[[#This Row],[WEIGHT]]*9.81),0)</f>
        <v>0</v>
      </c>
      <c r="V1028" s="25">
        <v>0.25</v>
      </c>
      <c r="W1028" s="21">
        <f>ROUND(IF(IFERROR(PROPERTIES[[#This Row],[TE_COEFFICIENT_CALC]],0)=0,PROPERTIES[[#This Row],[TE_COEFFICIENT_MANUAL]],PROPERTIES[[#This Row],[TE_COEFFICIENT_CALC]]),3)</f>
        <v>0.25</v>
      </c>
      <c r="X1028" s="44" cm="1">
        <f t="array" ref="X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1028" s="31">
        <v>130</v>
      </c>
      <c r="Z1028" s="7">
        <v>8</v>
      </c>
      <c r="AA1028" s="7" t="s">
        <v>244</v>
      </c>
      <c r="AB1028" s="7" t="s">
        <v>238</v>
      </c>
      <c r="AC1028" t="s">
        <v>238</v>
      </c>
      <c r="AD1028" s="2" t="s">
        <v>238</v>
      </c>
      <c r="AE1028" s="8" t="s">
        <v>253</v>
      </c>
      <c r="AF102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8" s="2" t="str">
        <f>SUBSTITUTE(SUBSTITUTE(PROPERTIES[[#This Row],[PURCHASECOST_VALUE]], "PURCHASECOST_", ""), "_VALUE", "")</f>
        <v>EMU</v>
      </c>
      <c r="AI1028" s="7" t="str" cm="1">
        <f t="array" ref="AI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8" s="9" t="b">
        <v>0</v>
      </c>
      <c r="AK1028" s="8" t="b">
        <v>0</v>
      </c>
    </row>
    <row r="1029" spans="1:37">
      <c r="A1029" s="2" t="s">
        <v>3682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5" t="str">
        <f>_xlfn.XLOOKUP(PROPERTIES[[#This Row],[VEHIDCODE]],CONTROL[VEHIDCODE],CONTROL[ENGLISH])</f>
        <v>ACF New York Central Heavyweight MU</v>
      </c>
      <c r="F1029" t="s">
        <v>796</v>
      </c>
      <c r="G1029" s="45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8">
        <v>60</v>
      </c>
      <c r="R1029">
        <v>400</v>
      </c>
      <c r="S1029">
        <v>90</v>
      </c>
      <c r="T1029" s="25">
        <v>0</v>
      </c>
      <c r="U1029" s="25">
        <f>IFERROR(PROPERTIES[[#This Row],[TE_STARTING_KN]]/(PROPERTIES[[#This Row],[WEIGHT]]*9.81),0)</f>
        <v>0</v>
      </c>
      <c r="V1029" s="25">
        <v>0.2</v>
      </c>
      <c r="W1029" s="21">
        <f>ROUND(IF(IFERROR(PROPERTIES[[#This Row],[TE_COEFFICIENT_CALC]],0)=0,PROPERTIES[[#This Row],[TE_COEFFICIENT_MANUAL]],PROPERTIES[[#This Row],[TE_COEFFICIENT_CALC]]),3)</f>
        <v>0.2</v>
      </c>
      <c r="X1029" s="44" cm="1">
        <f t="array" ref="X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029" s="31">
        <v>0</v>
      </c>
      <c r="Z1029" s="7">
        <v>0</v>
      </c>
      <c r="AA1029" s="7" t="s">
        <v>244</v>
      </c>
      <c r="AB1029" s="7" t="s">
        <v>238</v>
      </c>
      <c r="AC1029" t="s">
        <v>238</v>
      </c>
      <c r="AD1029" s="2" t="s">
        <v>238</v>
      </c>
      <c r="AE1029" s="8" t="s">
        <v>253</v>
      </c>
      <c r="AF1029" s="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1029" s="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1029" s="2" t="str">
        <f>SUBSTITUTE(SUBSTITUTE(PROPERTIES[[#This Row],[PURCHASECOST_VALUE]], "PURCHASECOST_", ""), "_VALUE", "")</f>
        <v>METRORAILBUS</v>
      </c>
      <c r="AI1029" s="7" t="str" cm="1">
        <f t="array" ref="AI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1029" s="9" t="b">
        <v>0</v>
      </c>
      <c r="AK1029" s="8" t="b">
        <v>0</v>
      </c>
    </row>
    <row r="1030" spans="1:37">
      <c r="A1030" s="2" t="s">
        <v>3684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5" t="str">
        <f>_xlfn.XLOOKUP(PROPERTIES[[#This Row],[VEHIDCODE]],CONTROL[VEHIDCODE],CONTROL[ENGLISH])</f>
        <v>Goerlitz Articulated Double Decker Coach</v>
      </c>
      <c r="G1030" s="45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8">
        <f>85/2</f>
        <v>42.5</v>
      </c>
      <c r="R1030">
        <v>0</v>
      </c>
      <c r="S1030">
        <v>120</v>
      </c>
      <c r="T1030" s="25">
        <v>0</v>
      </c>
      <c r="U1030" s="24">
        <f>IFERROR(PROPERTIES[[#This Row],[TE_STARTING_KN]]/(PROPERTIES[[#This Row],[WEIGHT]]*9.81),0)</f>
        <v>0</v>
      </c>
      <c r="V1030" s="24">
        <v>0.3</v>
      </c>
      <c r="W1030" s="21">
        <f>ROUND(IF(IFERROR(PROPERTIES[[#This Row],[TE_COEFFICIENT_CALC]],0)=0,PROPERTIES[[#This Row],[TE_COEFFICIENT_MANUAL]],PROPERTIES[[#This Row],[TE_COEFFICIENT_CALC]]),3)</f>
        <v>0.3</v>
      </c>
      <c r="X1030" s="9" cm="1">
        <f t="array" ref="X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0" s="31">
        <v>0</v>
      </c>
      <c r="Z1030" s="7">
        <v>0</v>
      </c>
      <c r="AA1030" t="s">
        <v>2010</v>
      </c>
      <c r="AB1030" t="s">
        <v>238</v>
      </c>
      <c r="AC1030" t="s">
        <v>238</v>
      </c>
      <c r="AD1030" s="2" t="s">
        <v>238</v>
      </c>
      <c r="AE1030" s="2" t="s">
        <v>253</v>
      </c>
      <c r="AF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0" s="2" t="str">
        <f>SUBSTITUTE(SUBSTITUTE(PROPERTIES[[#This Row],[PURCHASECOST_VALUE]], "PURCHASECOST_", ""), "_VALUE", "")</f>
        <v>COACH</v>
      </c>
      <c r="AI1030" s="7" t="str" cm="1">
        <f t="array" ref="AI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0" s="43" t="b">
        <v>0</v>
      </c>
      <c r="AK1030" s="8" t="b">
        <v>0</v>
      </c>
    </row>
    <row r="1031" spans="1:37">
      <c r="A1031" s="2" t="s">
        <v>3689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5" t="str">
        <f>_xlfn.XLOOKUP(PROPERTIES[[#This Row],[VEHIDCODE]],CONTROL[VEHIDCODE],CONTROL[ENGLISH])</f>
        <v>PRR MP54</v>
      </c>
      <c r="F1031" t="s">
        <v>796</v>
      </c>
      <c r="G1031" s="45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8">
        <v>54</v>
      </c>
      <c r="R1031">
        <v>450</v>
      </c>
      <c r="S1031">
        <v>105</v>
      </c>
      <c r="T1031" s="25">
        <v>80</v>
      </c>
      <c r="U1031" s="24">
        <f>IFERROR(PROPERTIES[[#This Row],[TE_STARTING_KN]]/(PROPERTIES[[#This Row],[WEIGHT]]*9.81),0)</f>
        <v>0.15101748027334164</v>
      </c>
      <c r="V1031" s="24">
        <v>0</v>
      </c>
      <c r="W1031" s="21">
        <f>ROUND(IF(IFERROR(PROPERTIES[[#This Row],[TE_COEFFICIENT_CALC]],0)=0,PROPERTIES[[#This Row],[TE_COEFFICIENT_MANUAL]],PROPERTIES[[#This Row],[TE_COEFFICIENT_CALC]]),3)</f>
        <v>0.151</v>
      </c>
      <c r="X1031" s="9" cm="1">
        <f t="array" ref="X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1" s="31">
        <v>72</v>
      </c>
      <c r="Z1031" s="7">
        <v>8</v>
      </c>
      <c r="AA1031" t="s">
        <v>244</v>
      </c>
      <c r="AB1031" t="s">
        <v>238</v>
      </c>
      <c r="AC1031" t="s">
        <v>238</v>
      </c>
      <c r="AD1031" s="2" t="s">
        <v>238</v>
      </c>
      <c r="AE1031" s="2" t="s">
        <v>253</v>
      </c>
      <c r="AF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1" s="2" t="str">
        <f>SUBSTITUTE(SUBSTITUTE(PROPERTIES[[#This Row],[PURCHASECOST_VALUE]], "PURCHASECOST_", ""), "_VALUE", "")</f>
        <v>EMU</v>
      </c>
      <c r="AI1031" s="7" t="str" cm="1">
        <f t="array" ref="AI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1" s="43" t="b">
        <v>0</v>
      </c>
      <c r="AK1031" s="8" t="b">
        <v>0</v>
      </c>
    </row>
    <row r="1032" spans="1:37">
      <c r="A1032" s="2" t="s">
        <v>3690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5" t="str">
        <f>_xlfn.XLOOKUP(PROPERTIES[[#This Row],[VEHIDCODE]],CONTROL[VEHIDCODE],CONTROL[ENGLISH])</f>
        <v>PRR MP54</v>
      </c>
      <c r="F1032" t="s">
        <v>796</v>
      </c>
      <c r="G1032" s="45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8">
        <v>54</v>
      </c>
      <c r="R1032">
        <v>450</v>
      </c>
      <c r="S1032">
        <v>105</v>
      </c>
      <c r="T1032" s="25">
        <v>80</v>
      </c>
      <c r="U1032" s="24">
        <f>IFERROR(PROPERTIES[[#This Row],[TE_STARTING_KN]]/(PROPERTIES[[#This Row],[WEIGHT]]*9.81),0)</f>
        <v>0.15101748027334164</v>
      </c>
      <c r="V1032" s="24">
        <v>0</v>
      </c>
      <c r="W1032" s="21">
        <f>ROUND(IF(IFERROR(PROPERTIES[[#This Row],[TE_COEFFICIENT_CALC]],0)=0,PROPERTIES[[#This Row],[TE_COEFFICIENT_MANUAL]],PROPERTIES[[#This Row],[TE_COEFFICIENT_CALC]]),3)</f>
        <v>0.151</v>
      </c>
      <c r="X1032" s="9" cm="1">
        <f t="array" ref="X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032" s="31">
        <v>72</v>
      </c>
      <c r="Z1032" s="7">
        <v>8</v>
      </c>
      <c r="AA1032" t="s">
        <v>244</v>
      </c>
      <c r="AB1032" t="s">
        <v>238</v>
      </c>
      <c r="AC1032" t="s">
        <v>238</v>
      </c>
      <c r="AD1032" s="2" t="s">
        <v>238</v>
      </c>
      <c r="AE1032" s="2" t="s">
        <v>253</v>
      </c>
      <c r="AF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2" s="2" t="str">
        <f>SUBSTITUTE(SUBSTITUTE(PROPERTIES[[#This Row],[PURCHASECOST_VALUE]], "PURCHASECOST_", ""), "_VALUE", "")</f>
        <v>EMU</v>
      </c>
      <c r="AI1032" s="7" t="str" cm="1">
        <f t="array" ref="AI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2" s="43" t="b">
        <v>0</v>
      </c>
      <c r="AK1032" s="8" t="b">
        <v>0</v>
      </c>
    </row>
    <row r="1033" spans="1:37">
      <c r="A1033" s="2" t="s">
        <v>3692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5" t="str">
        <f>_xlfn.XLOOKUP(PROPERTIES[[#This Row],[VEHIDCODE]],CONTROL[VEHIDCODE],CONTROL[ENGLISH])</f>
        <v>PRR P54 Commuter Coach</v>
      </c>
      <c r="G1033" s="45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8">
        <v>45</v>
      </c>
      <c r="R1033">
        <v>0</v>
      </c>
      <c r="S1033">
        <v>105</v>
      </c>
      <c r="T1033" s="25">
        <v>0</v>
      </c>
      <c r="U1033" s="24">
        <f>IFERROR(PROPERTIES[[#This Row],[TE_STARTING_KN]]/(PROPERTIES[[#This Row],[WEIGHT]]*9.81),0)</f>
        <v>0</v>
      </c>
      <c r="V1033" s="24">
        <v>0.3</v>
      </c>
      <c r="W1033" s="21">
        <f>ROUND(IF(IFERROR(PROPERTIES[[#This Row],[TE_COEFFICIENT_CALC]],0)=0,PROPERTIES[[#This Row],[TE_COEFFICIENT_MANUAL]],PROPERTIES[[#This Row],[TE_COEFFICIENT_CALC]]),3)</f>
        <v>0.3</v>
      </c>
      <c r="X1033" s="9" cm="1">
        <f t="array" ref="X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3" s="31">
        <v>0</v>
      </c>
      <c r="Z1033" s="7">
        <v>0</v>
      </c>
      <c r="AA1033" t="s">
        <v>244</v>
      </c>
      <c r="AB1033" t="s">
        <v>238</v>
      </c>
      <c r="AC1033" t="s">
        <v>238</v>
      </c>
      <c r="AD1033" s="2" t="s">
        <v>238</v>
      </c>
      <c r="AE1033" s="2" t="s">
        <v>253</v>
      </c>
      <c r="AF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3" s="2" t="str">
        <f>SUBSTITUTE(SUBSTITUTE(PROPERTIES[[#This Row],[PURCHASECOST_VALUE]], "PURCHASECOST_", ""), "_VALUE", "")</f>
        <v>COACH</v>
      </c>
      <c r="AI1033" s="7" t="str" cm="1">
        <f t="array" ref="AI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3" s="43" t="b">
        <v>0</v>
      </c>
      <c r="AK1033" s="8" t="b">
        <v>0</v>
      </c>
    </row>
    <row r="1034" spans="1:37">
      <c r="A1034" s="2" t="s">
        <v>3691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5" t="str">
        <f>_xlfn.XLOOKUP(PROPERTIES[[#This Row],[VEHIDCODE]],CONTROL[VEHIDCODE],CONTROL[ENGLISH])</f>
        <v>PRR P54 Mail Coach</v>
      </c>
      <c r="G1034" s="45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8">
        <v>45</v>
      </c>
      <c r="R1034">
        <v>0</v>
      </c>
      <c r="S1034">
        <v>105</v>
      </c>
      <c r="T1034" s="25">
        <v>0</v>
      </c>
      <c r="U1034" s="24">
        <f>IFERROR(PROPERTIES[[#This Row],[TE_STARTING_KN]]/(PROPERTIES[[#This Row],[WEIGHT]]*9.81),0)</f>
        <v>0</v>
      </c>
      <c r="V1034" s="24">
        <v>0.3</v>
      </c>
      <c r="W1034" s="21">
        <f>ROUND(IF(IFERROR(PROPERTIES[[#This Row],[TE_COEFFICIENT_CALC]],0)=0,PROPERTIES[[#This Row],[TE_COEFFICIENT_MANUAL]],PROPERTIES[[#This Row],[TE_COEFFICIENT_CALC]]),3)</f>
        <v>0.3</v>
      </c>
      <c r="X1034" s="9" cm="1">
        <f t="array" ref="X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4" s="31">
        <v>0</v>
      </c>
      <c r="Z1034" s="7">
        <v>0</v>
      </c>
      <c r="AA1034" t="s">
        <v>244</v>
      </c>
      <c r="AB1034" t="s">
        <v>238</v>
      </c>
      <c r="AC1034" t="s">
        <v>238</v>
      </c>
      <c r="AD1034" s="2" t="s">
        <v>238</v>
      </c>
      <c r="AE1034" s="2" t="s">
        <v>253</v>
      </c>
      <c r="AF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4" s="2" t="str">
        <f>SUBSTITUTE(SUBSTITUTE(PROPERTIES[[#This Row],[PURCHASECOST_VALUE]], "PURCHASECOST_", ""), "_VALUE", "")</f>
        <v>COACH</v>
      </c>
      <c r="AI1034" s="7" t="str" cm="1">
        <f t="array" ref="AI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34" s="43" t="b">
        <v>0</v>
      </c>
      <c r="AK1034" s="8" t="b">
        <v>0</v>
      </c>
    </row>
    <row r="1035" spans="1:37">
      <c r="A1035" s="2" t="s">
        <v>3698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5" t="str">
        <f>_xlfn.XLOOKUP(PROPERTIES[[#This Row],[VEHIDCODE]],CONTROL[VEHIDCODE],CONTROL[ENGLISH])</f>
        <v>PRR P70 Bilevel Coach</v>
      </c>
      <c r="G1035" s="45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8">
        <v>52</v>
      </c>
      <c r="R1035">
        <v>0</v>
      </c>
      <c r="S1035">
        <v>105</v>
      </c>
      <c r="T1035" s="25">
        <v>0</v>
      </c>
      <c r="U1035" s="25">
        <f>IFERROR(PROPERTIES[[#This Row],[TE_STARTING_KN]]/(PROPERTIES[[#This Row],[WEIGHT]]*9.81),0)</f>
        <v>0</v>
      </c>
      <c r="V1035" s="25">
        <v>0</v>
      </c>
      <c r="W1035" s="21">
        <f>ROUND(IF(IFERROR(PROPERTIES[[#This Row],[TE_COEFFICIENT_CALC]],0)=0,PROPERTIES[[#This Row],[TE_COEFFICIENT_MANUAL]],PROPERTIES[[#This Row],[TE_COEFFICIENT_CALC]]),3)</f>
        <v>0</v>
      </c>
      <c r="X1035" s="44" cm="1">
        <f t="array" ref="X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5" s="31">
        <v>134</v>
      </c>
      <c r="Z1035" s="7">
        <v>0</v>
      </c>
      <c r="AA1035" t="s">
        <v>244</v>
      </c>
      <c r="AB1035" t="s">
        <v>238</v>
      </c>
      <c r="AC1035" t="s">
        <v>238</v>
      </c>
      <c r="AD1035" s="2" t="s">
        <v>238</v>
      </c>
      <c r="AE1035" s="2" t="s">
        <v>254</v>
      </c>
      <c r="AF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5" s="2" t="str">
        <f>SUBSTITUTE(SUBSTITUTE(PROPERTIES[[#This Row],[PURCHASECOST_VALUE]], "PURCHASECOST_", ""), "_VALUE", "")</f>
        <v>COACH</v>
      </c>
      <c r="AI1035" s="7" t="str" cm="1">
        <f t="array" ref="AI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5" s="43" t="b">
        <v>0</v>
      </c>
      <c r="AK1035" s="8" t="b">
        <v>0</v>
      </c>
    </row>
    <row r="1036" spans="1:37">
      <c r="A1036" s="2" t="s">
        <v>3700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5" t="str">
        <f>_xlfn.XLOOKUP(PROPERTIES[[#This Row],[VEHIDCODE]],CONTROL[VEHIDCODE],CONTROL[ENGLISH])</f>
        <v>LTZ 2TE10M</v>
      </c>
      <c r="F1036" t="s">
        <v>755</v>
      </c>
      <c r="G1036" s="45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8">
        <f>276/2</f>
        <v>138</v>
      </c>
      <c r="R1036">
        <f>6160/2</f>
        <v>3080</v>
      </c>
      <c r="S1036">
        <v>100</v>
      </c>
      <c r="T1036" s="25">
        <f>784/2</f>
        <v>392</v>
      </c>
      <c r="U1036" s="24">
        <f>IFERROR(PROPERTIES[[#This Row],[TE_STARTING_KN]]/(PROPERTIES[[#This Row],[WEIGHT]]*9.81),0)</f>
        <v>0.28955960348062465</v>
      </c>
      <c r="V1036" s="24">
        <v>0</v>
      </c>
      <c r="W1036" s="21">
        <f>ROUND(IF(IFERROR(PROPERTIES[[#This Row],[TE_COEFFICIENT_CALC]],0)=0,PROPERTIES[[#This Row],[TE_COEFFICIENT_MANUAL]],PROPERTIES[[#This Row],[TE_COEFFICIENT_CALC]]),3)</f>
        <v>0.28999999999999998</v>
      </c>
      <c r="X1036" s="9" cm="1">
        <f t="array" ref="X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6" s="31">
        <v>0</v>
      </c>
      <c r="Z1036" s="7">
        <v>0</v>
      </c>
      <c r="AA1036" t="s">
        <v>2016</v>
      </c>
      <c r="AB1036" t="s">
        <v>238</v>
      </c>
      <c r="AC1036" t="s">
        <v>238</v>
      </c>
      <c r="AD1036" s="2" t="s">
        <v>238</v>
      </c>
      <c r="AE1036" s="2" t="s">
        <v>253</v>
      </c>
      <c r="AF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6" s="2" t="str">
        <f>SUBSTITUTE(SUBSTITUTE(PROPERTIES[[#This Row],[PURCHASECOST_VALUE]], "PURCHASECOST_", ""), "_VALUE", "")</f>
        <v>DIESELENGINE</v>
      </c>
      <c r="AI1036" s="7" t="str" cm="1">
        <f t="array" ref="AI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6" s="43" t="b">
        <v>0</v>
      </c>
      <c r="AK1036" s="8" t="b">
        <v>0</v>
      </c>
    </row>
    <row r="1037" spans="1:37">
      <c r="A1037" s="2" t="s">
        <v>3701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5" t="str">
        <f>_xlfn.XLOOKUP(PROPERTIES[[#This Row],[VEHIDCODE]],CONTROL[VEHIDCODE],CONTROL[ENGLISH])</f>
        <v>LTZ 2TE126</v>
      </c>
      <c r="F1037" t="s">
        <v>793</v>
      </c>
      <c r="G1037" s="45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8">
        <f>272/2</f>
        <v>136</v>
      </c>
      <c r="R1037">
        <f>INT(6035/2)</f>
        <v>3017</v>
      </c>
      <c r="S1037">
        <v>100</v>
      </c>
      <c r="T1037" s="25">
        <v>255</v>
      </c>
      <c r="U1037" s="24">
        <f>IFERROR(PROPERTIES[[#This Row],[TE_STARTING_KN]]/(PROPERTIES[[#This Row],[WEIGHT]]*9.81),0)</f>
        <v>0.19113149847094801</v>
      </c>
      <c r="V1037" s="24">
        <v>0</v>
      </c>
      <c r="W1037" s="21">
        <f>ROUND(IF(IFERROR(PROPERTIES[[#This Row],[TE_COEFFICIENT_CALC]],0)=0,PROPERTIES[[#This Row],[TE_COEFFICIENT_MANUAL]],PROPERTIES[[#This Row],[TE_COEFFICIENT_CALC]]),3)</f>
        <v>0.191</v>
      </c>
      <c r="X1037" s="9" cm="1">
        <f t="array" ref="X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7" s="31">
        <v>0</v>
      </c>
      <c r="Z1037" s="7">
        <v>0</v>
      </c>
      <c r="AA1037" t="s">
        <v>2013</v>
      </c>
      <c r="AB1037" t="s">
        <v>238</v>
      </c>
      <c r="AC1037" t="s">
        <v>238</v>
      </c>
      <c r="AD1037" s="2" t="s">
        <v>238</v>
      </c>
      <c r="AE1037" s="2" t="s">
        <v>253</v>
      </c>
      <c r="AF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7" s="2" t="str">
        <f>SUBSTITUTE(SUBSTITUTE(PROPERTIES[[#This Row],[PURCHASECOST_VALUE]], "PURCHASECOST_", ""), "_VALUE", "")</f>
        <v>DIESELENGINE</v>
      </c>
      <c r="AI1037" s="7" t="str" cm="1">
        <f t="array" ref="AI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7" s="43" t="b">
        <v>0</v>
      </c>
      <c r="AK1037" s="8" t="b">
        <v>0</v>
      </c>
    </row>
    <row r="1038" spans="1:37">
      <c r="A1038" s="2" t="s">
        <v>3702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5" t="str">
        <f>_xlfn.XLOOKUP(PROPERTIES[[#This Row],[VEHIDCODE]],CONTROL[VEHIDCODE],CONTROL[ENGLISH])</f>
        <v>LTZ 2TE10Ut</v>
      </c>
      <c r="F1038" t="s">
        <v>793</v>
      </c>
      <c r="G1038" s="45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8">
        <f>276/2</f>
        <v>138</v>
      </c>
      <c r="R1038">
        <f>4560/2</f>
        <v>2280</v>
      </c>
      <c r="S1038">
        <v>120</v>
      </c>
      <c r="T1038" s="25">
        <v>0</v>
      </c>
      <c r="U1038" s="24">
        <f>IFERROR(PROPERTIES[[#This Row],[TE_STARTING_KN]]/(PROPERTIES[[#This Row],[WEIGHT]]*9.81),0)</f>
        <v>0</v>
      </c>
      <c r="V1038" s="24">
        <v>0.15</v>
      </c>
      <c r="W1038" s="21">
        <f>ROUND(IF(IFERROR(PROPERTIES[[#This Row],[TE_COEFFICIENT_CALC]],0)=0,PROPERTIES[[#This Row],[TE_COEFFICIENT_MANUAL]],PROPERTIES[[#This Row],[TE_COEFFICIENT_CALC]]),3)</f>
        <v>0.15</v>
      </c>
      <c r="X1038" s="9" cm="1">
        <f t="array" ref="X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8" s="31">
        <v>0</v>
      </c>
      <c r="Z1038" s="7">
        <v>0</v>
      </c>
      <c r="AA1038" t="s">
        <v>2013</v>
      </c>
      <c r="AB1038" t="s">
        <v>238</v>
      </c>
      <c r="AC1038" t="s">
        <v>238</v>
      </c>
      <c r="AD1038" s="2" t="s">
        <v>238</v>
      </c>
      <c r="AE1038" s="2" t="s">
        <v>253</v>
      </c>
      <c r="AF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8" s="2" t="str">
        <f>SUBSTITUTE(SUBSTITUTE(PROPERTIES[[#This Row],[PURCHASECOST_VALUE]], "PURCHASECOST_", ""), "_VALUE", "")</f>
        <v>DIESELENGINE</v>
      </c>
      <c r="AI1038" s="7" t="str" cm="1">
        <f t="array" ref="AI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38" s="43" t="b">
        <v>0</v>
      </c>
      <c r="AK1038" s="8" t="b">
        <v>0</v>
      </c>
    </row>
    <row r="1039" spans="1:37">
      <c r="A1039" s="2" t="s">
        <v>3703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5" t="str">
        <f>_xlfn.XLOOKUP(PROPERTIES[[#This Row],[VEHIDCODE]],CONTROL[VEHIDCODE],CONTROL[ENGLISH])</f>
        <v>Faur A20D-P</v>
      </c>
      <c r="F1039" t="s">
        <v>753</v>
      </c>
      <c r="G1039" s="45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24</v>
      </c>
      <c r="J1039">
        <v>39</v>
      </c>
      <c r="K1039">
        <v>8</v>
      </c>
      <c r="L1039">
        <v>8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8">
        <v>62.4</v>
      </c>
      <c r="R1039">
        <f>INT(1.341*141)</f>
        <v>189</v>
      </c>
      <c r="S1039">
        <v>60</v>
      </c>
      <c r="T1039" s="25">
        <v>0</v>
      </c>
      <c r="U1039" s="25">
        <f>IFERROR(PROPERTIES[[#This Row],[TE_STARTING_KN]]/(PROPERTIES[[#This Row],[WEIGHT]]*9.81),0)</f>
        <v>0</v>
      </c>
      <c r="V1039" s="25">
        <v>0.2</v>
      </c>
      <c r="W1039" s="21">
        <f>ROUND(IF(IFERROR(PROPERTIES[[#This Row],[TE_COEFFICIENT_CALC]],0)=0,PROPERTIES[[#This Row],[TE_COEFFICIENT_MANUAL]],PROPERTIES[[#This Row],[TE_COEFFICIENT_CALC]]),3)</f>
        <v>0.2</v>
      </c>
      <c r="X1039" s="44" cm="1">
        <f t="array" ref="X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9" s="31">
        <v>0</v>
      </c>
      <c r="Z1039" s="7">
        <v>0</v>
      </c>
      <c r="AA1039" s="7" t="s">
        <v>245</v>
      </c>
      <c r="AB1039" t="s">
        <v>238</v>
      </c>
      <c r="AC1039" t="s">
        <v>238</v>
      </c>
      <c r="AD1039" s="2" t="s">
        <v>238</v>
      </c>
      <c r="AE1039" s="2" t="s">
        <v>253</v>
      </c>
      <c r="AF10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9" s="2" t="str">
        <f>SUBSTITUTE(SUBSTITUTE(PROPERTIES[[#This Row],[PURCHASECOST_VALUE]], "PURCHASECOST_", ""), "_VALUE", "")</f>
        <v>DIESELENGINE</v>
      </c>
      <c r="AI1039" s="7" t="str" cm="1">
        <f t="array" ref="AI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9" s="43" t="b">
        <v>0</v>
      </c>
      <c r="AK1039" s="8" t="b">
        <v>0</v>
      </c>
    </row>
    <row r="1040" spans="1:37">
      <c r="A1040" s="2" t="s">
        <v>3706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5" t="str">
        <f>_xlfn.XLOOKUP(PROPERTIES[[#This Row],[VEHIDCODE]],CONTROL[VEHIDCODE],CONTROL[ENGLISH])</f>
        <v>Faur A20D-P Trailer</v>
      </c>
      <c r="G1040" s="45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24</v>
      </c>
      <c r="J1040">
        <v>45</v>
      </c>
      <c r="K1040">
        <v>8</v>
      </c>
      <c r="L1040">
        <v>8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8">
        <v>19</v>
      </c>
      <c r="R1040">
        <v>0</v>
      </c>
      <c r="S1040">
        <v>60</v>
      </c>
      <c r="T1040" s="25">
        <v>0</v>
      </c>
      <c r="U1040" s="25">
        <f>IFERROR(PROPERTIES[[#This Row],[TE_STARTING_KN]]/(PROPERTIES[[#This Row],[WEIGHT]]*9.81),0)</f>
        <v>0</v>
      </c>
      <c r="V1040" s="25">
        <v>0.3</v>
      </c>
      <c r="W1040" s="21">
        <f>ROUND(IF(IFERROR(PROPERTIES[[#This Row],[TE_COEFFICIENT_CALC]],0)=0,PROPERTIES[[#This Row],[TE_COEFFICIENT_MANUAL]],PROPERTIES[[#This Row],[TE_COEFFICIENT_CALC]]),3)</f>
        <v>0.3</v>
      </c>
      <c r="X1040" s="44" cm="1">
        <f t="array" ref="X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40" s="31">
        <v>0</v>
      </c>
      <c r="Z1040" s="7">
        <v>0</v>
      </c>
      <c r="AA1040" s="7" t="s">
        <v>245</v>
      </c>
      <c r="AB1040" t="s">
        <v>238</v>
      </c>
      <c r="AC1040" t="s">
        <v>238</v>
      </c>
      <c r="AD1040" s="2" t="s">
        <v>238</v>
      </c>
      <c r="AE1040" s="2" t="s">
        <v>253</v>
      </c>
      <c r="AF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40" s="2" t="str">
        <f>SUBSTITUTE(SUBSTITUTE(PROPERTIES[[#This Row],[PURCHASECOST_VALUE]], "PURCHASECOST_", ""), "_VALUE", "")</f>
        <v>COACH</v>
      </c>
      <c r="AI1040" s="7" t="str" cm="1">
        <f t="array" ref="AI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40" s="43" t="b">
        <v>0</v>
      </c>
      <c r="AK1040" s="8" t="b">
        <v>0</v>
      </c>
    </row>
    <row r="1041" spans="1:37">
      <c r="A1041" s="2" t="s">
        <v>3708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5" t="str">
        <f>_xlfn.XLOOKUP(PROPERTIES[[#This Row],[VEHIDCODE]],CONTROL[VEHIDCODE],CONTROL[ENGLISH])</f>
        <v>Faur L45H</v>
      </c>
      <c r="F1041" t="s">
        <v>753</v>
      </c>
      <c r="G1041" s="45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19</v>
      </c>
      <c r="J1041">
        <v>0</v>
      </c>
      <c r="K1041">
        <v>5</v>
      </c>
      <c r="L1041">
        <v>5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8">
        <v>32</v>
      </c>
      <c r="R1041">
        <v>450</v>
      </c>
      <c r="S1041">
        <v>40</v>
      </c>
      <c r="T1041" s="25">
        <v>0</v>
      </c>
      <c r="U1041" s="25">
        <f>IFERROR(PROPERTIES[[#This Row],[TE_STARTING_KN]]/(PROPERTIES[[#This Row],[WEIGHT]]*9.81),0)</f>
        <v>0</v>
      </c>
      <c r="V1041" s="25">
        <v>0.2</v>
      </c>
      <c r="W1041" s="21">
        <f>ROUND(IF(IFERROR(PROPERTIES[[#This Row],[TE_COEFFICIENT_CALC]],0)=0,PROPERTIES[[#This Row],[TE_COEFFICIENT_MANUAL]],PROPERTIES[[#This Row],[TE_COEFFICIENT_CALC]]),3)</f>
        <v>0.2</v>
      </c>
      <c r="X1041" s="44" cm="1">
        <f t="array" ref="X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1" s="31">
        <v>0</v>
      </c>
      <c r="Z1041" s="7">
        <v>0</v>
      </c>
      <c r="AA1041" s="7" t="s">
        <v>2013</v>
      </c>
      <c r="AB1041" s="7" t="s">
        <v>239</v>
      </c>
      <c r="AC1041" t="s">
        <v>242</v>
      </c>
      <c r="AD1041" s="2" t="s">
        <v>238</v>
      </c>
      <c r="AE1041" s="2" t="s">
        <v>253</v>
      </c>
      <c r="AF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1" s="2" t="str">
        <f>SUBSTITUTE(SUBSTITUTE(PROPERTIES[[#This Row],[PURCHASECOST_VALUE]], "PURCHASECOST_", ""), "_VALUE", "")</f>
        <v>DIESELENGINE</v>
      </c>
      <c r="AI1041" s="7" t="str" cm="1">
        <f t="array" ref="AI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1" s="43" t="b">
        <v>0</v>
      </c>
      <c r="AK1041" s="8" t="b">
        <v>0</v>
      </c>
    </row>
    <row r="1042" spans="1:37">
      <c r="A1042" s="2" t="s">
        <v>3712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5" t="str">
        <f>_xlfn.XLOOKUP(PROPERTIES[[#This Row],[VEHIDCODE]],CONTROL[VEHIDCODE],CONTROL[ENGLISH])</f>
        <v>Pafawag 3Aw</v>
      </c>
      <c r="F1042" t="s">
        <v>744</v>
      </c>
      <c r="G1042" s="45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24</v>
      </c>
      <c r="J1042">
        <v>39</v>
      </c>
      <c r="K1042">
        <v>8</v>
      </c>
      <c r="L1042">
        <v>8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8">
        <v>16.7</v>
      </c>
      <c r="R1042">
        <v>0</v>
      </c>
      <c r="S1042">
        <v>60</v>
      </c>
      <c r="T1042" s="25">
        <v>0</v>
      </c>
      <c r="U1042" s="25">
        <f>IFERROR(PROPERTIES[[#This Row],[TE_STARTING_KN]]/(PROPERTIES[[#This Row],[WEIGHT]]*9.81),0)</f>
        <v>0</v>
      </c>
      <c r="V1042" s="25">
        <v>0.3</v>
      </c>
      <c r="W1042" s="21">
        <f>ROUND(IF(IFERROR(PROPERTIES[[#This Row],[TE_COEFFICIENT_CALC]],0)=0,PROPERTIES[[#This Row],[TE_COEFFICIENT_MANUAL]],PROPERTIES[[#This Row],[TE_COEFFICIENT_CALC]]),3)</f>
        <v>0.3</v>
      </c>
      <c r="X1042" s="44" cm="1">
        <f t="array" ref="X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42" s="31">
        <v>0</v>
      </c>
      <c r="Z1042" s="7">
        <v>0</v>
      </c>
      <c r="AA1042" s="7" t="s">
        <v>2013</v>
      </c>
      <c r="AB1042" t="s">
        <v>238</v>
      </c>
      <c r="AC1042" t="s">
        <v>238</v>
      </c>
      <c r="AD1042" s="2" t="s">
        <v>238</v>
      </c>
      <c r="AE1042" s="2" t="s">
        <v>253</v>
      </c>
      <c r="AF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42" s="2" t="str">
        <f>SUBSTITUTE(SUBSTITUTE(PROPERTIES[[#This Row],[PURCHASECOST_VALUE]], "PURCHASECOST_", ""), "_VALUE", "")</f>
        <v>COACH</v>
      </c>
      <c r="AI1042" s="7" t="str" cm="1">
        <f t="array" ref="AI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42" s="43" t="b">
        <v>0</v>
      </c>
      <c r="AK1042" s="8" t="b">
        <v>0</v>
      </c>
    </row>
    <row r="1043" spans="1:37">
      <c r="A1043" s="2" t="s">
        <v>3714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5" t="str">
        <f>_xlfn.XLOOKUP(PROPERTIES[[#This Row],[VEHIDCODE]],CONTROL[VEHIDCODE],CONTROL[ENGLISH])</f>
        <v>KMZ TU7/TGM40</v>
      </c>
      <c r="F1043" t="s">
        <v>755</v>
      </c>
      <c r="G1043" s="45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19</v>
      </c>
      <c r="J1043">
        <v>0</v>
      </c>
      <c r="K1043">
        <v>5</v>
      </c>
      <c r="L1043">
        <v>5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8">
        <v>34</v>
      </c>
      <c r="R1043">
        <v>400</v>
      </c>
      <c r="S1043">
        <v>40</v>
      </c>
      <c r="T1043" s="25">
        <v>0</v>
      </c>
      <c r="U1043" s="25">
        <f>IFERROR(PROPERTIES[[#This Row],[TE_STARTING_KN]]/(PROPERTIES[[#This Row],[WEIGHT]]*9.81),0)</f>
        <v>0</v>
      </c>
      <c r="V1043" s="25">
        <v>0.2</v>
      </c>
      <c r="W1043" s="21">
        <f>ROUND(IF(IFERROR(PROPERTIES[[#This Row],[TE_COEFFICIENT_CALC]],0)=0,PROPERTIES[[#This Row],[TE_COEFFICIENT_MANUAL]],PROPERTIES[[#This Row],[TE_COEFFICIENT_CALC]]),3)</f>
        <v>0.2</v>
      </c>
      <c r="X1043" s="44" cm="1">
        <f t="array" ref="X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3" s="31">
        <v>0</v>
      </c>
      <c r="Z1043" s="7">
        <v>0</v>
      </c>
      <c r="AA1043" s="7" t="s">
        <v>248</v>
      </c>
      <c r="AB1043" s="7" t="s">
        <v>247</v>
      </c>
      <c r="AC1043" t="s">
        <v>238</v>
      </c>
      <c r="AD1043" s="2" t="s">
        <v>238</v>
      </c>
      <c r="AE1043" s="2" t="s">
        <v>253</v>
      </c>
      <c r="AF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3" s="2" t="str">
        <f>SUBSTITUTE(SUBSTITUTE(PROPERTIES[[#This Row],[PURCHASECOST_VALUE]], "PURCHASECOST_", ""), "_VALUE", "")</f>
        <v>DIESELENGINE</v>
      </c>
      <c r="AI1043" s="7" t="str" cm="1">
        <f t="array" ref="AI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3" s="43" t="b">
        <v>0</v>
      </c>
      <c r="AK1043" s="8" t="b">
        <v>0</v>
      </c>
    </row>
    <row r="1044" spans="1:37">
      <c r="A1044" s="2" t="s">
        <v>3719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5" t="str">
        <f>_xlfn.XLOOKUP(PROPERTIES[[#This Row],[VEHIDCODE]],CONTROL[VEHIDCODE],CONTROL[ENGLISH])</f>
        <v>Alsthom CC 7100</v>
      </c>
      <c r="F1044" t="s">
        <v>641</v>
      </c>
      <c r="G1044" s="45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19</v>
      </c>
      <c r="J1044">
        <v>0</v>
      </c>
      <c r="K1044">
        <v>8</v>
      </c>
      <c r="L1044">
        <v>8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8">
        <v>107</v>
      </c>
      <c r="R1044">
        <v>4680</v>
      </c>
      <c r="S1044">
        <v>130</v>
      </c>
      <c r="T1044" s="25">
        <v>260</v>
      </c>
      <c r="U1044" s="25">
        <f>IFERROR(PROPERTIES[[#This Row],[TE_STARTING_KN]]/(PROPERTIES[[#This Row],[WEIGHT]]*9.81),0)</f>
        <v>0.24769689521468649</v>
      </c>
      <c r="V1044" s="25">
        <v>0</v>
      </c>
      <c r="W1044" s="21">
        <f>ROUND(IF(IFERROR(PROPERTIES[[#This Row],[TE_COEFFICIENT_CALC]],0)=0,PROPERTIES[[#This Row],[TE_COEFFICIENT_MANUAL]],PROPERTIES[[#This Row],[TE_COEFFICIENT_CALC]]),3)</f>
        <v>0.248</v>
      </c>
      <c r="X1044" s="44" cm="1">
        <f t="array" ref="X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044" s="31">
        <v>0</v>
      </c>
      <c r="Z1044" s="7">
        <v>0</v>
      </c>
      <c r="AA1044" s="7" t="s">
        <v>239</v>
      </c>
      <c r="AB1044" s="7" t="s">
        <v>242</v>
      </c>
      <c r="AC1044" t="s">
        <v>240</v>
      </c>
      <c r="AD1044" s="2" t="s">
        <v>238</v>
      </c>
      <c r="AE1044" s="2" t="s">
        <v>253</v>
      </c>
      <c r="AF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4" s="2" t="str">
        <f>SUBSTITUTE(SUBSTITUTE(PROPERTIES[[#This Row],[PURCHASECOST_VALUE]], "PURCHASECOST_", ""), "_VALUE", "")</f>
        <v>ELECTRICENGINE</v>
      </c>
      <c r="AI1044" s="7" t="str" cm="1">
        <f t="array" ref="AI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44" s="43" t="b">
        <v>0</v>
      </c>
      <c r="AK1044" s="8" t="b">
        <v>0</v>
      </c>
    </row>
    <row r="1045" spans="1:37">
      <c r="A1045" s="2" t="s">
        <v>3717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5" t="str">
        <f>_xlfn.XLOOKUP(PROPERTIES[[#This Row],[VEHIDCODE]],CONTROL[VEHIDCODE],CONTROL[ENGLISH])</f>
        <v>Alsthom F Series</v>
      </c>
      <c r="F1045" t="s">
        <v>641</v>
      </c>
      <c r="G1045" s="45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19</v>
      </c>
      <c r="J1045">
        <v>0</v>
      </c>
      <c r="K1045">
        <v>8</v>
      </c>
      <c r="L1045">
        <v>8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8">
        <v>138</v>
      </c>
      <c r="R1045">
        <f>INT(4740*1.341)</f>
        <v>6356</v>
      </c>
      <c r="S1045">
        <v>160</v>
      </c>
      <c r="T1045" s="25">
        <v>510.1</v>
      </c>
      <c r="U1045" s="25">
        <f>IFERROR(PROPERTIES[[#This Row],[TE_STARTING_KN]]/(PROPERTIES[[#This Row],[WEIGHT]]*9.81),0)</f>
        <v>0.37679682075374138</v>
      </c>
      <c r="V1045" s="25">
        <v>0</v>
      </c>
      <c r="W1045" s="21">
        <f>ROUND(IF(IFERROR(PROPERTIES[[#This Row],[TE_COEFFICIENT_CALC]],0)=0,PROPERTIES[[#This Row],[TE_COEFFICIENT_MANUAL]],PROPERTIES[[#This Row],[TE_COEFFICIENT_CALC]]),3)</f>
        <v>0.377</v>
      </c>
      <c r="X1045" s="44" cm="1">
        <f t="array" ref="X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5" s="31">
        <v>0</v>
      </c>
      <c r="Z1045" s="7">
        <v>0</v>
      </c>
      <c r="AA1045" s="7" t="s">
        <v>245</v>
      </c>
      <c r="AB1045" s="7" t="s">
        <v>247</v>
      </c>
      <c r="AC1045" t="s">
        <v>238</v>
      </c>
      <c r="AD1045" s="2" t="s">
        <v>238</v>
      </c>
      <c r="AE1045" s="2" t="s">
        <v>253</v>
      </c>
      <c r="AF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5" s="2" t="str">
        <f>SUBSTITUTE(SUBSTITUTE(PROPERTIES[[#This Row],[PURCHASECOST_VALUE]], "PURCHASECOST_", ""), "_VALUE", "")</f>
        <v>ELECTRICENGINE</v>
      </c>
      <c r="AI1045" s="7" t="str" cm="1">
        <f t="array" ref="AI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5" s="43" t="b">
        <v>0</v>
      </c>
      <c r="AK1045" s="8" t="b">
        <v>0</v>
      </c>
    </row>
  </sheetData>
  <phoneticPr fontId="18" type="noConversion"/>
  <conditionalFormatting sqref="A893:A940">
    <cfRule type="containsText" dxfId="83" priority="183" operator="containsText" text=" ">
      <formula>NOT(ISERROR(SEARCH(" ",A893)))</formula>
    </cfRule>
  </conditionalFormatting>
  <conditionalFormatting sqref="A942:A943">
    <cfRule type="containsText" dxfId="82" priority="176" operator="containsText" text=" ">
      <formula>NOT(ISERROR(SEARCH(" ",A942)))</formula>
    </cfRule>
  </conditionalFormatting>
  <conditionalFormatting sqref="A946:A950">
    <cfRule type="containsText" dxfId="81" priority="165" operator="containsText" text=" ">
      <formula>NOT(ISERROR(SEARCH(" ",A946)))</formula>
    </cfRule>
  </conditionalFormatting>
  <conditionalFormatting sqref="A952:A953">
    <cfRule type="containsText" dxfId="80" priority="156" operator="containsText" text=" ">
      <formula>NOT(ISERROR(SEARCH(" ",A952)))</formula>
    </cfRule>
  </conditionalFormatting>
  <conditionalFormatting sqref="A956:A971">
    <cfRule type="containsText" dxfId="79" priority="123" operator="containsText" text=" ">
      <formula>NOT(ISERROR(SEARCH(" ",A956)))</formula>
    </cfRule>
  </conditionalFormatting>
  <conditionalFormatting sqref="A974:A977">
    <cfRule type="containsText" dxfId="78" priority="110" operator="containsText" text=" ">
      <formula>NOT(ISERROR(SEARCH(" ",A974)))</formula>
    </cfRule>
  </conditionalFormatting>
  <conditionalFormatting sqref="A979:A982">
    <cfRule type="containsText" dxfId="77" priority="95" operator="containsText" text=" ">
      <formula>NOT(ISERROR(SEARCH(" ",A979)))</formula>
    </cfRule>
  </conditionalFormatting>
  <conditionalFormatting sqref="A985:A986">
    <cfRule type="containsText" dxfId="76" priority="91" operator="containsText" text=" ">
      <formula>NOT(ISERROR(SEARCH(" ",A985)))</formula>
    </cfRule>
  </conditionalFormatting>
  <conditionalFormatting sqref="A988:A991">
    <cfRule type="containsText" dxfId="75" priority="86" operator="containsText" text=" ">
      <formula>NOT(ISERROR(SEARCH(" ",A988)))</formula>
    </cfRule>
  </conditionalFormatting>
  <conditionalFormatting sqref="A994:A1029">
    <cfRule type="containsText" dxfId="74" priority="15" operator="containsText" text=" ">
      <formula>NOT(ISERROR(SEARCH(" ",A994)))</formula>
    </cfRule>
  </conditionalFormatting>
  <conditionalFormatting sqref="A1031:A1045">
    <cfRule type="containsText" dxfId="73" priority="1" operator="containsText" text=" ">
      <formula>NOT(ISERROR(SEARCH(" ",A1031)))</formula>
    </cfRule>
  </conditionalFormatting>
  <conditionalFormatting sqref="J1:J1048576">
    <cfRule type="expression" dxfId="71" priority="162">
      <formula>AND(I1="NONE",J1&gt;0)</formula>
    </cfRule>
  </conditionalFormatting>
  <conditionalFormatting sqref="T829:T831 U974:W976 U979:W979 U982:W991 U993:W998 U1000:W1000 U1003:W1011 V1013:W1013 U1014:W1019 U1022:W1025 U1027:W1029 U1035:W1035 U1039:W1048576">
    <cfRule type="cellIs" dxfId="70" priority="275" operator="equal">
      <formula>0</formula>
    </cfRule>
  </conditionalFormatting>
  <conditionalFormatting sqref="T898:T899">
    <cfRule type="cellIs" dxfId="69" priority="234" operator="equal">
      <formula>0</formula>
    </cfRule>
  </conditionalFormatting>
  <conditionalFormatting sqref="T914:T915">
    <cfRule type="cellIs" dxfId="68" priority="213" operator="equal">
      <formula>0</formula>
    </cfRule>
  </conditionalFormatting>
  <conditionalFormatting sqref="T975">
    <cfRule type="cellIs" dxfId="67" priority="114" operator="equal">
      <formula>0</formula>
    </cfRule>
  </conditionalFormatting>
  <conditionalFormatting sqref="T1033:T1034">
    <cfRule type="cellIs" dxfId="66" priority="9" operator="equal">
      <formula>0</formula>
    </cfRule>
  </conditionalFormatting>
  <conditionalFormatting sqref="T1013:U1013">
    <cfRule type="cellIs" dxfId="65" priority="34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64" priority="321" operator="equal">
      <formula>0</formula>
    </cfRule>
  </conditionalFormatting>
  <conditionalFormatting sqref="T970:V973">
    <cfRule type="cellIs" dxfId="63" priority="119" operator="equal">
      <formula>0</formula>
    </cfRule>
  </conditionalFormatting>
  <conditionalFormatting sqref="T977:V978">
    <cfRule type="cellIs" dxfId="62" priority="107" operator="equal">
      <formula>0</formula>
    </cfRule>
  </conditionalFormatting>
  <conditionalFormatting sqref="T981:V981">
    <cfRule type="cellIs" dxfId="61" priority="98" operator="equal">
      <formula>0</formula>
    </cfRule>
  </conditionalFormatting>
  <conditionalFormatting sqref="T992:V992">
    <cfRule type="cellIs" dxfId="60" priority="85" operator="equal">
      <formula>0</formula>
    </cfRule>
  </conditionalFormatting>
  <conditionalFormatting sqref="T999:V999">
    <cfRule type="cellIs" dxfId="59" priority="64" operator="equal">
      <formula>0</formula>
    </cfRule>
  </conditionalFormatting>
  <conditionalFormatting sqref="T1001:V1002">
    <cfRule type="cellIs" dxfId="58" priority="61" operator="equal">
      <formula>0</formula>
    </cfRule>
  </conditionalFormatting>
  <conditionalFormatting sqref="T1012:V1012">
    <cfRule type="cellIs" dxfId="57" priority="41" operator="equal">
      <formula>0</formula>
    </cfRule>
  </conditionalFormatting>
  <conditionalFormatting sqref="T1020:V1021">
    <cfRule type="cellIs" dxfId="56" priority="24" operator="equal">
      <formula>0</formula>
    </cfRule>
  </conditionalFormatting>
  <conditionalFormatting sqref="T1026:V1026">
    <cfRule type="cellIs" dxfId="55" priority="19" operator="equal">
      <formula>0</formula>
    </cfRule>
  </conditionalFormatting>
  <conditionalFormatting sqref="T1030:V1032">
    <cfRule type="cellIs" dxfId="54" priority="12" operator="equal">
      <formula>0</formula>
    </cfRule>
  </conditionalFormatting>
  <conditionalFormatting sqref="T1036:V1038">
    <cfRule type="cellIs" dxfId="53" priority="6" operator="equal">
      <formula>0</formula>
    </cfRule>
  </conditionalFormatting>
  <conditionalFormatting sqref="U980:V980">
    <cfRule type="cellIs" dxfId="52" priority="102" operator="equal">
      <formula>0</formula>
    </cfRule>
  </conditionalFormatting>
  <conditionalFormatting sqref="U1033:V1034">
    <cfRule type="cellIs" dxfId="51" priority="10" operator="equal">
      <formula>0</formula>
    </cfRule>
  </conditionalFormatting>
  <conditionalFormatting sqref="AA1:AD1048576">
    <cfRule type="containsText" dxfId="50" priority="30" operator="containsText" text="NO_REGION">
      <formula>NOT(ISERROR(SEARCH("NO_REGION",AA1)))</formula>
    </cfRule>
  </conditionalFormatting>
  <conditionalFormatting sqref="AE2:AE1045">
    <cfRule type="containsText" dxfId="49" priority="31" operator="containsText" text="NO_CONCEPT">
      <formula>NOT(ISERROR(SEARCH("NO_CONCEPT",AE2)))</formula>
    </cfRule>
  </conditionalFormatting>
  <conditionalFormatting sqref="AF2:AF1045">
    <cfRule type="cellIs" dxfId="48" priority="257" operator="equal">
      <formula>FALSE</formula>
    </cfRule>
  </conditionalFormatting>
  <conditionalFormatting sqref="AG2:AG1045">
    <cfRule type="cellIs" dxfId="47" priority="241" operator="equal">
      <formula>FALSE</formula>
    </cfRule>
  </conditionalFormatting>
  <conditionalFormatting sqref="AJ2:AJ1045">
    <cfRule type="containsText" dxfId="46" priority="306" operator="containsText" text="FALSE">
      <formula>NOT(ISERROR(SEARCH("FALSE",AJ2)))</formula>
    </cfRule>
  </conditionalFormatting>
  <conditionalFormatting sqref="AK2:AK1045">
    <cfRule type="cellIs" dxfId="45" priority="82" operator="equal">
      <formula>FALSE</formula>
    </cfRule>
  </conditionalFormatting>
  <conditionalFormatting sqref="AP790:AR791">
    <cfRule type="cellIs" dxfId="44" priority="322" operator="equal">
      <formula>FALSE</formula>
    </cfRule>
  </conditionalFormatting>
  <conditionalFormatting sqref="AQ792:AS992 AR993:AT1048576">
    <cfRule type="cellIs" dxfId="43" priority="288" operator="equal">
      <formula>FALSE</formula>
    </cfRule>
  </conditionalFormatting>
  <dataValidations count="15">
    <dataValidation type="whole" operator="greaterThanOrEqual" allowBlank="1" showInputMessage="1" showErrorMessage="1" sqref="Q1013 Y2:Z1045 P2:P1045 J2:J1045 R2:S1045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T2:W1045" xr:uid="{F342F512-E760-4CD3-801B-E5B9CF70B7FD}">
      <formula1>0</formula1>
    </dataValidation>
    <dataValidation operator="greaterThanOrEqual" allowBlank="1" showInputMessage="1" showErrorMessage="1" sqref="AL790:AM791 AM792:AN992 AN993:AO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5" xr:uid="{33652263-03A3-437A-966A-BE8C0F8BE076}">
      <formula1>INDIRECT("COUNTRIES[COUNTRY_DESCRIPTION]")</formula1>
    </dataValidation>
    <dataValidation type="list" allowBlank="1" showInputMessage="1" showErrorMessage="1" sqref="G2:G1045" xr:uid="{588AE673-9464-4BE0-859D-79E758214056}">
      <formula1>INDIRECT("COUNTRIES[COUNTRY_LABEL]")</formula1>
    </dataValidation>
    <dataValidation type="list" allowBlank="1" showInputMessage="1" showErrorMessage="1" sqref="AP790:AS791 AW790:BA791 AX792:BB992 AY993:BC1048576 AQ792:AT992 AR993:AU1048576" xr:uid="{9652105D-A1DA-4D87-8399-EE85E90529F0}">
      <formula1>"TRUE"</formula1>
    </dataValidation>
    <dataValidation type="list" allowBlank="1" showInputMessage="1" showErrorMessage="1" sqref="AJ2:AK1045" xr:uid="{F2DE25A7-EAF4-4DA6-85FD-9F7B7EE18717}">
      <formula1>"TRUE,FALSE"</formula1>
    </dataValidation>
    <dataValidation type="whole" operator="greaterThan" allowBlank="1" showInputMessage="1" showErrorMessage="1" sqref="L2:L1045" xr:uid="{870AF9CD-1FF5-4186-831D-7CE6637E02C8}">
      <formula1>1</formula1>
    </dataValidation>
    <dataValidation type="whole" allowBlank="1" showInputMessage="1" showErrorMessage="1" sqref="K2:K1045" xr:uid="{607F370E-253D-4A13-94DF-726661E11AFB}">
      <formula1>1</formula1>
      <formula2>8</formula2>
    </dataValidation>
    <dataValidation type="list" allowBlank="1" showInputMessage="1" showErrorMessage="1" sqref="I2:I1045" xr:uid="{B4C03D86-C7FA-4754-AA46-736C1B535A70}">
      <formula1>INDIRECT("CARGODEF[CARGODEF]")</formula1>
    </dataValidation>
    <dataValidation type="list" allowBlank="1" showInputMessage="1" showErrorMessage="1" sqref="AA2:AD1048576" xr:uid="{A6AEDF15-D52E-4DEA-AD86-7127D84AEEAD}">
      <formula1>INDIRECT("VALID_REGIONS[VALID_REGIONS]")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E1:AE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3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5"/>
  <sheetViews>
    <sheetView tabSelected="1" zoomScaleNormal="100" workbookViewId="0">
      <pane xSplit="1" ySplit="1" topLeftCell="B617" activePane="bottomRight" state="frozen"/>
      <selection pane="topRight" activeCell="B1" sqref="B1"/>
      <selection pane="bottomLeft" activeCell="A2" sqref="A2"/>
      <selection pane="bottomRight" activeCell="F633" sqref="F633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43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7" bestFit="1" customWidth="1"/>
    <col min="43" max="43" width="17.453125" style="8" bestFit="1" customWidth="1"/>
    <col min="44" max="44" width="10" style="9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6" t="s">
        <v>2646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257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3" t="s">
        <v>256</v>
      </c>
      <c r="AE1" s="43" t="s">
        <v>1790</v>
      </c>
      <c r="AF1" s="43" t="s">
        <v>1791</v>
      </c>
      <c r="AG1" s="43" t="s">
        <v>1792</v>
      </c>
      <c r="AH1" s="13" t="s">
        <v>1793</v>
      </c>
    </row>
    <row r="2" spans="1:44">
      <c r="A2" s="2" t="s">
        <v>80</v>
      </c>
      <c r="B2" s="45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43" t="b" cm="1">
        <f t="array" ref="AE2">IFERROR(_xlfn.BYROW(TRACK_TYPES[[#This Row],[TRACK_TYPE_STANDARD_GAUGE_RAILTYPE_OHLE]:[TRACK_TYPE_STANDARD_GAUGE_RAILTYPE_NONE]],_xlfn.LAMBDA(_xlpm.r,OR(_xlpm.r))),FALSE)</f>
        <v>0</v>
      </c>
      <c r="AF2" s="43" t="b" cm="1">
        <f t="array" ref="AF2">IFERROR(_xlfn.BYROW(TRACK_TYPES[[#This Row],[TRACK_TYPE_NARROW_GAUGE_RAILTYPE_OHLE]:[TRACK_TYPE_NARROW_GAUGE_RAILTYPE_NONE]],_xlfn.LAMBDA(_xlpm.r,OR(_xlpm.r))),FALSE)</f>
        <v>0</v>
      </c>
      <c r="AG2" s="43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5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43" t="b" cm="1">
        <f t="array" ref="AE3">IFERROR(_xlfn.BYROW(TRACK_TYPES[[#This Row],[TRACK_TYPE_STANDARD_GAUGE_RAILTYPE_OHLE]:[TRACK_TYPE_STANDARD_GAUGE_RAILTYPE_NONE]],_xlfn.LAMBDA(_xlpm.r,OR(_xlpm.r))),FALSE)</f>
        <v>0</v>
      </c>
      <c r="AF3" s="43" t="b" cm="1">
        <f t="array" ref="AF3">IFERROR(_xlfn.BYROW(TRACK_TYPES[[#This Row],[TRACK_TYPE_NARROW_GAUGE_RAILTYPE_OHLE]:[TRACK_TYPE_NARROW_GAUGE_RAILTYPE_NONE]],_xlfn.LAMBDA(_xlpm.r,OR(_xlpm.r))),FALSE)</f>
        <v>0</v>
      </c>
      <c r="AG3" s="43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2729</v>
      </c>
      <c r="B4" s="45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43" t="b" cm="1">
        <f t="array" ref="AE4">IFERROR(_xlfn.BYROW(TRACK_TYPES[[#This Row],[TRACK_TYPE_STANDARD_GAUGE_RAILTYPE_OHLE]:[TRACK_TYPE_STANDARD_GAUGE_RAILTYPE_NONE]],_xlfn.LAMBDA(_xlpm.r,OR(_xlpm.r))),FALSE)</f>
        <v>0</v>
      </c>
      <c r="AF4" s="43" t="b" cm="1">
        <f t="array" ref="AF4">IFERROR(_xlfn.BYROW(TRACK_TYPES[[#This Row],[TRACK_TYPE_NARROW_GAUGE_RAILTYPE_OHLE]:[TRACK_TYPE_NARROW_GAUGE_RAILTYPE_NONE]],_xlfn.LAMBDA(_xlpm.r,OR(_xlpm.r))),FALSE)</f>
        <v>1</v>
      </c>
      <c r="AG4" s="43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2730</v>
      </c>
      <c r="B5" s="45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43" t="b" cm="1">
        <f t="array" ref="AE5">IFERROR(_xlfn.BYROW(TRACK_TYPES[[#This Row],[TRACK_TYPE_STANDARD_GAUGE_RAILTYPE_OHLE]:[TRACK_TYPE_STANDARD_GAUGE_RAILTYPE_NONE]],_xlfn.LAMBDA(_xlpm.r,OR(_xlpm.r))),FALSE)</f>
        <v>1</v>
      </c>
      <c r="AF5" s="43" t="b" cm="1">
        <f t="array" ref="AF5">IFERROR(_xlfn.BYROW(TRACK_TYPES[[#This Row],[TRACK_TYPE_NARROW_GAUGE_RAILTYPE_OHLE]:[TRACK_TYPE_NARROW_GAUGE_RAILTYPE_NONE]],_xlfn.LAMBDA(_xlpm.r,OR(_xlpm.r))),FALSE)</f>
        <v>0</v>
      </c>
      <c r="AG5" s="43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2731</v>
      </c>
      <c r="B6" s="45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43" t="b" cm="1">
        <f t="array" ref="AE6">IFERROR(_xlfn.BYROW(TRACK_TYPES[[#This Row],[TRACK_TYPE_STANDARD_GAUGE_RAILTYPE_OHLE]:[TRACK_TYPE_STANDARD_GAUGE_RAILTYPE_NONE]],_xlfn.LAMBDA(_xlpm.r,OR(_xlpm.r))),FALSE)</f>
        <v>0</v>
      </c>
      <c r="AF6" s="43" t="b" cm="1">
        <f t="array" ref="AF6">IFERROR(_xlfn.BYROW(TRACK_TYPES[[#This Row],[TRACK_TYPE_NARROW_GAUGE_RAILTYPE_OHLE]:[TRACK_TYPE_NARROW_GAUGE_RAILTYPE_NONE]],_xlfn.LAMBDA(_xlpm.r,OR(_xlpm.r))),FALSE)</f>
        <v>0</v>
      </c>
      <c r="AG6" s="43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2732</v>
      </c>
      <c r="B7" s="45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43" t="b" cm="1">
        <f t="array" ref="AE7">IFERROR(_xlfn.BYROW(TRACK_TYPES[[#This Row],[TRACK_TYPE_STANDARD_GAUGE_RAILTYPE_OHLE]:[TRACK_TYPE_STANDARD_GAUGE_RAILTYPE_NONE]],_xlfn.LAMBDA(_xlpm.r,OR(_xlpm.r))),FALSE)</f>
        <v>1</v>
      </c>
      <c r="AF7" s="43" t="b" cm="1">
        <f t="array" ref="AF7">IFERROR(_xlfn.BYROW(TRACK_TYPES[[#This Row],[TRACK_TYPE_NARROW_GAUGE_RAILTYPE_OHLE]:[TRACK_TYPE_NARROW_GAUGE_RAILTYPE_NONE]],_xlfn.LAMBDA(_xlpm.r,OR(_xlpm.r))),FALSE)</f>
        <v>0</v>
      </c>
      <c r="AG7" s="43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2733</v>
      </c>
      <c r="B8" s="45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43" t="b" cm="1">
        <f t="array" ref="AE8">IFERROR(_xlfn.BYROW(TRACK_TYPES[[#This Row],[TRACK_TYPE_STANDARD_GAUGE_RAILTYPE_OHLE]:[TRACK_TYPE_STANDARD_GAUGE_RAILTYPE_NONE]],_xlfn.LAMBDA(_xlpm.r,OR(_xlpm.r))),FALSE)</f>
        <v>1</v>
      </c>
      <c r="AF8" s="43" t="b" cm="1">
        <f t="array" ref="AF8">IFERROR(_xlfn.BYROW(TRACK_TYPES[[#This Row],[TRACK_TYPE_NARROW_GAUGE_RAILTYPE_OHLE]:[TRACK_TYPE_NARROW_GAUGE_RAILTYPE_NONE]],_xlfn.LAMBDA(_xlpm.r,OR(_xlpm.r))),FALSE)</f>
        <v>0</v>
      </c>
      <c r="AG8" s="43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2734</v>
      </c>
      <c r="B9" s="45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43" t="b" cm="1">
        <f t="array" ref="AE9">IFERROR(_xlfn.BYROW(TRACK_TYPES[[#This Row],[TRACK_TYPE_STANDARD_GAUGE_RAILTYPE_OHLE]:[TRACK_TYPE_STANDARD_GAUGE_RAILTYPE_NONE]],_xlfn.LAMBDA(_xlpm.r,OR(_xlpm.r))),FALSE)</f>
        <v>0</v>
      </c>
      <c r="AF9" s="43" t="b" cm="1">
        <f t="array" ref="AF9">IFERROR(_xlfn.BYROW(TRACK_TYPES[[#This Row],[TRACK_TYPE_NARROW_GAUGE_RAILTYPE_OHLE]:[TRACK_TYPE_NARROW_GAUGE_RAILTYPE_NONE]],_xlfn.LAMBDA(_xlpm.r,OR(_xlpm.r))),FALSE)</f>
        <v>1</v>
      </c>
      <c r="AG9" s="43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2735</v>
      </c>
      <c r="B10" s="45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43" t="b" cm="1">
        <f t="array" ref="AE10">IFERROR(_xlfn.BYROW(TRACK_TYPES[[#This Row],[TRACK_TYPE_STANDARD_GAUGE_RAILTYPE_OHLE]:[TRACK_TYPE_STANDARD_GAUGE_RAILTYPE_NONE]],_xlfn.LAMBDA(_xlpm.r,OR(_xlpm.r))),FALSE)</f>
        <v>0</v>
      </c>
      <c r="AF10" s="43" t="b" cm="1">
        <f t="array" ref="AF10">IFERROR(_xlfn.BYROW(TRACK_TYPES[[#This Row],[TRACK_TYPE_NARROW_GAUGE_RAILTYPE_OHLE]:[TRACK_TYPE_NARROW_GAUGE_RAILTYPE_NONE]],_xlfn.LAMBDA(_xlpm.r,OR(_xlpm.r))),FALSE)</f>
        <v>0</v>
      </c>
      <c r="AG10" s="43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2736</v>
      </c>
      <c r="B11" s="45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43" t="b" cm="1">
        <f t="array" ref="AE11">IFERROR(_xlfn.BYROW(TRACK_TYPES[[#This Row],[TRACK_TYPE_STANDARD_GAUGE_RAILTYPE_OHLE]:[TRACK_TYPE_STANDARD_GAUGE_RAILTYPE_NONE]],_xlfn.LAMBDA(_xlpm.r,OR(_xlpm.r))),FALSE)</f>
        <v>1</v>
      </c>
      <c r="AF11" s="43" t="b" cm="1">
        <f t="array" ref="AF11">IFERROR(_xlfn.BYROW(TRACK_TYPES[[#This Row],[TRACK_TYPE_NARROW_GAUGE_RAILTYPE_OHLE]:[TRACK_TYPE_NARROW_GAUGE_RAILTYPE_NONE]],_xlfn.LAMBDA(_xlpm.r,OR(_xlpm.r))),FALSE)</f>
        <v>0</v>
      </c>
      <c r="AG11" s="43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2737</v>
      </c>
      <c r="B12" s="45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43" t="b" cm="1">
        <f t="array" ref="AE12">IFERROR(_xlfn.BYROW(TRACK_TYPES[[#This Row],[TRACK_TYPE_STANDARD_GAUGE_RAILTYPE_OHLE]:[TRACK_TYPE_STANDARD_GAUGE_RAILTYPE_NONE]],_xlfn.LAMBDA(_xlpm.r,OR(_xlpm.r))),FALSE)</f>
        <v>0</v>
      </c>
      <c r="AF12" s="43" t="b" cm="1">
        <f t="array" ref="AF12">IFERROR(_xlfn.BYROW(TRACK_TYPES[[#This Row],[TRACK_TYPE_NARROW_GAUGE_RAILTYPE_OHLE]:[TRACK_TYPE_NARROW_GAUGE_RAILTYPE_NONE]],_xlfn.LAMBDA(_xlpm.r,OR(_xlpm.r))),FALSE)</f>
        <v>0</v>
      </c>
      <c r="AG12" s="43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2738</v>
      </c>
      <c r="B13" s="45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43" t="b" cm="1">
        <f t="array" ref="AE13">IFERROR(_xlfn.BYROW(TRACK_TYPES[[#This Row],[TRACK_TYPE_STANDARD_GAUGE_RAILTYPE_OHLE]:[TRACK_TYPE_STANDARD_GAUGE_RAILTYPE_NONE]],_xlfn.LAMBDA(_xlpm.r,OR(_xlpm.r))),FALSE)</f>
        <v>1</v>
      </c>
      <c r="AF13" s="43" t="b" cm="1">
        <f t="array" ref="AF13">IFERROR(_xlfn.BYROW(TRACK_TYPES[[#This Row],[TRACK_TYPE_NARROW_GAUGE_RAILTYPE_OHLE]:[TRACK_TYPE_NARROW_GAUGE_RAILTYPE_NONE]],_xlfn.LAMBDA(_xlpm.r,OR(_xlpm.r))),FALSE)</f>
        <v>1</v>
      </c>
      <c r="AG13" s="43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2739</v>
      </c>
      <c r="B14" s="45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43" t="b" cm="1">
        <f t="array" ref="AE14">IFERROR(_xlfn.BYROW(TRACK_TYPES[[#This Row],[TRACK_TYPE_STANDARD_GAUGE_RAILTYPE_OHLE]:[TRACK_TYPE_STANDARD_GAUGE_RAILTYPE_NONE]],_xlfn.LAMBDA(_xlpm.r,OR(_xlpm.r))),FALSE)</f>
        <v>1</v>
      </c>
      <c r="AF14" s="43" t="b" cm="1">
        <f t="array" ref="AF14">IFERROR(_xlfn.BYROW(TRACK_TYPES[[#This Row],[TRACK_TYPE_NARROW_GAUGE_RAILTYPE_OHLE]:[TRACK_TYPE_NARROW_GAUGE_RAILTYPE_NONE]],_xlfn.LAMBDA(_xlpm.r,OR(_xlpm.r))),FALSE)</f>
        <v>0</v>
      </c>
      <c r="AG14" s="43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2740</v>
      </c>
      <c r="B15" s="45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43" t="b" cm="1">
        <f t="array" ref="AE15">IFERROR(_xlfn.BYROW(TRACK_TYPES[[#This Row],[TRACK_TYPE_STANDARD_GAUGE_RAILTYPE_OHLE]:[TRACK_TYPE_STANDARD_GAUGE_RAILTYPE_NONE]],_xlfn.LAMBDA(_xlpm.r,OR(_xlpm.r))),FALSE)</f>
        <v>1</v>
      </c>
      <c r="AF15" s="43" t="b" cm="1">
        <f t="array" ref="AF15">IFERROR(_xlfn.BYROW(TRACK_TYPES[[#This Row],[TRACK_TYPE_NARROW_GAUGE_RAILTYPE_OHLE]:[TRACK_TYPE_NARROW_GAUGE_RAILTYPE_NONE]],_xlfn.LAMBDA(_xlpm.r,OR(_xlpm.r))),FALSE)</f>
        <v>0</v>
      </c>
      <c r="AG15" s="43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2741</v>
      </c>
      <c r="B16" s="45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43" t="b" cm="1">
        <f t="array" ref="AE16">IFERROR(_xlfn.BYROW(TRACK_TYPES[[#This Row],[TRACK_TYPE_STANDARD_GAUGE_RAILTYPE_OHLE]:[TRACK_TYPE_STANDARD_GAUGE_RAILTYPE_NONE]],_xlfn.LAMBDA(_xlpm.r,OR(_xlpm.r))),FALSE)</f>
        <v>0</v>
      </c>
      <c r="AF16" s="43" t="b" cm="1">
        <f t="array" ref="AF16">IFERROR(_xlfn.BYROW(TRACK_TYPES[[#This Row],[TRACK_TYPE_NARROW_GAUGE_RAILTYPE_OHLE]:[TRACK_TYPE_NARROW_GAUGE_RAILTYPE_NONE]],_xlfn.LAMBDA(_xlpm.r,OR(_xlpm.r))),FALSE)</f>
        <v>1</v>
      </c>
      <c r="AG16" s="43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2742</v>
      </c>
      <c r="B17" s="45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43" t="b" cm="1">
        <f t="array" ref="AE17">IFERROR(_xlfn.BYROW(TRACK_TYPES[[#This Row],[TRACK_TYPE_STANDARD_GAUGE_RAILTYPE_OHLE]:[TRACK_TYPE_STANDARD_GAUGE_RAILTYPE_NONE]],_xlfn.LAMBDA(_xlpm.r,OR(_xlpm.r))),FALSE)</f>
        <v>0</v>
      </c>
      <c r="AF17" s="43" t="b" cm="1">
        <f t="array" ref="AF17">IFERROR(_xlfn.BYROW(TRACK_TYPES[[#This Row],[TRACK_TYPE_NARROW_GAUGE_RAILTYPE_OHLE]:[TRACK_TYPE_NARROW_GAUGE_RAILTYPE_NONE]],_xlfn.LAMBDA(_xlpm.r,OR(_xlpm.r))),FALSE)</f>
        <v>0</v>
      </c>
      <c r="AG17" s="43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2743</v>
      </c>
      <c r="B18" s="45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43" t="b" cm="1">
        <f t="array" ref="AE18">IFERROR(_xlfn.BYROW(TRACK_TYPES[[#This Row],[TRACK_TYPE_STANDARD_GAUGE_RAILTYPE_OHLE]:[TRACK_TYPE_STANDARD_GAUGE_RAILTYPE_NONE]],_xlfn.LAMBDA(_xlpm.r,OR(_xlpm.r))),FALSE)</f>
        <v>1</v>
      </c>
      <c r="AF18" s="43" t="b" cm="1">
        <f t="array" ref="AF18">IFERROR(_xlfn.BYROW(TRACK_TYPES[[#This Row],[TRACK_TYPE_NARROW_GAUGE_RAILTYPE_OHLE]:[TRACK_TYPE_NARROW_GAUGE_RAILTYPE_NONE]],_xlfn.LAMBDA(_xlpm.r,OR(_xlpm.r))),FALSE)</f>
        <v>1</v>
      </c>
      <c r="AG18" s="43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2744</v>
      </c>
      <c r="B19" s="45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43" t="b" cm="1">
        <f t="array" ref="AE19">IFERROR(_xlfn.BYROW(TRACK_TYPES[[#This Row],[TRACK_TYPE_STANDARD_GAUGE_RAILTYPE_OHLE]:[TRACK_TYPE_STANDARD_GAUGE_RAILTYPE_NONE]],_xlfn.LAMBDA(_xlpm.r,OR(_xlpm.r))),FALSE)</f>
        <v>1</v>
      </c>
      <c r="AF19" s="43" t="b" cm="1">
        <f t="array" ref="AF19">IFERROR(_xlfn.BYROW(TRACK_TYPES[[#This Row],[TRACK_TYPE_NARROW_GAUGE_RAILTYPE_OHLE]:[TRACK_TYPE_NARROW_GAUGE_RAILTYPE_NONE]],_xlfn.LAMBDA(_xlpm.r,OR(_xlpm.r))),FALSE)</f>
        <v>0</v>
      </c>
      <c r="AG19" s="43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2745</v>
      </c>
      <c r="B20" s="45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43" t="b" cm="1">
        <f t="array" ref="AE20">IFERROR(_xlfn.BYROW(TRACK_TYPES[[#This Row],[TRACK_TYPE_STANDARD_GAUGE_RAILTYPE_OHLE]:[TRACK_TYPE_STANDARD_GAUGE_RAILTYPE_NONE]],_xlfn.LAMBDA(_xlpm.r,OR(_xlpm.r))),FALSE)</f>
        <v>1</v>
      </c>
      <c r="AF20" s="43" t="b" cm="1">
        <f t="array" ref="AF20">IFERROR(_xlfn.BYROW(TRACK_TYPES[[#This Row],[TRACK_TYPE_NARROW_GAUGE_RAILTYPE_OHLE]:[TRACK_TYPE_NARROW_GAUGE_RAILTYPE_NONE]],_xlfn.LAMBDA(_xlpm.r,OR(_xlpm.r))),FALSE)</f>
        <v>0</v>
      </c>
      <c r="AG20" s="43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2746</v>
      </c>
      <c r="B21" s="45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43" t="b" cm="1">
        <f t="array" ref="AE21">IFERROR(_xlfn.BYROW(TRACK_TYPES[[#This Row],[TRACK_TYPE_STANDARD_GAUGE_RAILTYPE_OHLE]:[TRACK_TYPE_STANDARD_GAUGE_RAILTYPE_NONE]],_xlfn.LAMBDA(_xlpm.r,OR(_xlpm.r))),FALSE)</f>
        <v>1</v>
      </c>
      <c r="AF21" s="43" t="b" cm="1">
        <f t="array" ref="AF21">IFERROR(_xlfn.BYROW(TRACK_TYPES[[#This Row],[TRACK_TYPE_NARROW_GAUGE_RAILTYPE_OHLE]:[TRACK_TYPE_NARROW_GAUGE_RAILTYPE_NONE]],_xlfn.LAMBDA(_xlpm.r,OR(_xlpm.r))),FALSE)</f>
        <v>0</v>
      </c>
      <c r="AG21" s="43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2747</v>
      </c>
      <c r="B22" s="45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43" t="b" cm="1">
        <f t="array" ref="AE22">IFERROR(_xlfn.BYROW(TRACK_TYPES[[#This Row],[TRACK_TYPE_STANDARD_GAUGE_RAILTYPE_OHLE]:[TRACK_TYPE_STANDARD_GAUGE_RAILTYPE_NONE]],_xlfn.LAMBDA(_xlpm.r,OR(_xlpm.r))),FALSE)</f>
        <v>1</v>
      </c>
      <c r="AF22" s="43" t="b" cm="1">
        <f t="array" ref="AF22">IFERROR(_xlfn.BYROW(TRACK_TYPES[[#This Row],[TRACK_TYPE_NARROW_GAUGE_RAILTYPE_OHLE]:[TRACK_TYPE_NARROW_GAUGE_RAILTYPE_NONE]],_xlfn.LAMBDA(_xlpm.r,OR(_xlpm.r))),FALSE)</f>
        <v>0</v>
      </c>
      <c r="AG22" s="43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2748</v>
      </c>
      <c r="B23" s="45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43" t="b" cm="1">
        <f t="array" ref="AE23">IFERROR(_xlfn.BYROW(TRACK_TYPES[[#This Row],[TRACK_TYPE_STANDARD_GAUGE_RAILTYPE_OHLE]:[TRACK_TYPE_STANDARD_GAUGE_RAILTYPE_NONE]],_xlfn.LAMBDA(_xlpm.r,OR(_xlpm.r))),FALSE)</f>
        <v>1</v>
      </c>
      <c r="AF23" s="43" t="b" cm="1">
        <f t="array" ref="AF23">IFERROR(_xlfn.BYROW(TRACK_TYPES[[#This Row],[TRACK_TYPE_NARROW_GAUGE_RAILTYPE_OHLE]:[TRACK_TYPE_NARROW_GAUGE_RAILTYPE_NONE]],_xlfn.LAMBDA(_xlpm.r,OR(_xlpm.r))),FALSE)</f>
        <v>0</v>
      </c>
      <c r="AG23" s="43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2749</v>
      </c>
      <c r="B24" s="45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43" t="b" cm="1">
        <f t="array" ref="AE24">IFERROR(_xlfn.BYROW(TRACK_TYPES[[#This Row],[TRACK_TYPE_STANDARD_GAUGE_RAILTYPE_OHLE]:[TRACK_TYPE_STANDARD_GAUGE_RAILTYPE_NONE]],_xlfn.LAMBDA(_xlpm.r,OR(_xlpm.r))),FALSE)</f>
        <v>1</v>
      </c>
      <c r="AF24" s="43" t="b" cm="1">
        <f t="array" ref="AF24">IFERROR(_xlfn.BYROW(TRACK_TYPES[[#This Row],[TRACK_TYPE_NARROW_GAUGE_RAILTYPE_OHLE]:[TRACK_TYPE_NARROW_GAUGE_RAILTYPE_NONE]],_xlfn.LAMBDA(_xlpm.r,OR(_xlpm.r))),FALSE)</f>
        <v>0</v>
      </c>
      <c r="AG24" s="43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2750</v>
      </c>
      <c r="B25" s="45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43" t="b" cm="1">
        <f t="array" ref="AE25">IFERROR(_xlfn.BYROW(TRACK_TYPES[[#This Row],[TRACK_TYPE_STANDARD_GAUGE_RAILTYPE_OHLE]:[TRACK_TYPE_STANDARD_GAUGE_RAILTYPE_NONE]],_xlfn.LAMBDA(_xlpm.r,OR(_xlpm.r))),FALSE)</f>
        <v>1</v>
      </c>
      <c r="AF25" s="43" t="b" cm="1">
        <f t="array" ref="AF25">IFERROR(_xlfn.BYROW(TRACK_TYPES[[#This Row],[TRACK_TYPE_NARROW_GAUGE_RAILTYPE_OHLE]:[TRACK_TYPE_NARROW_GAUGE_RAILTYPE_NONE]],_xlfn.LAMBDA(_xlpm.r,OR(_xlpm.r))),FALSE)</f>
        <v>0</v>
      </c>
      <c r="AG25" s="43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2751</v>
      </c>
      <c r="B26" s="45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43" t="b" cm="1">
        <f t="array" ref="AE26">IFERROR(_xlfn.BYROW(TRACK_TYPES[[#This Row],[TRACK_TYPE_STANDARD_GAUGE_RAILTYPE_OHLE]:[TRACK_TYPE_STANDARD_GAUGE_RAILTYPE_NONE]],_xlfn.LAMBDA(_xlpm.r,OR(_xlpm.r))),FALSE)</f>
        <v>1</v>
      </c>
      <c r="AF26" s="43" t="b" cm="1">
        <f t="array" ref="AF26">IFERROR(_xlfn.BYROW(TRACK_TYPES[[#This Row],[TRACK_TYPE_NARROW_GAUGE_RAILTYPE_OHLE]:[TRACK_TYPE_NARROW_GAUGE_RAILTYPE_NONE]],_xlfn.LAMBDA(_xlpm.r,OR(_xlpm.r))),FALSE)</f>
        <v>0</v>
      </c>
      <c r="AG26" s="43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2752</v>
      </c>
      <c r="B27" s="45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43" t="b" cm="1">
        <f t="array" ref="AE27">IFERROR(_xlfn.BYROW(TRACK_TYPES[[#This Row],[TRACK_TYPE_STANDARD_GAUGE_RAILTYPE_OHLE]:[TRACK_TYPE_STANDARD_GAUGE_RAILTYPE_NONE]],_xlfn.LAMBDA(_xlpm.r,OR(_xlpm.r))),FALSE)</f>
        <v>0</v>
      </c>
      <c r="AF27" s="43" t="b" cm="1">
        <f t="array" ref="AF27">IFERROR(_xlfn.BYROW(TRACK_TYPES[[#This Row],[TRACK_TYPE_NARROW_GAUGE_RAILTYPE_OHLE]:[TRACK_TYPE_NARROW_GAUGE_RAILTYPE_NONE]],_xlfn.LAMBDA(_xlpm.r,OR(_xlpm.r))),FALSE)</f>
        <v>0</v>
      </c>
      <c r="AG27" s="43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2753</v>
      </c>
      <c r="B28" s="45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43" t="b" cm="1">
        <f t="array" ref="AE28">IFERROR(_xlfn.BYROW(TRACK_TYPES[[#This Row],[TRACK_TYPE_STANDARD_GAUGE_RAILTYPE_OHLE]:[TRACK_TYPE_STANDARD_GAUGE_RAILTYPE_NONE]],_xlfn.LAMBDA(_xlpm.r,OR(_xlpm.r))),FALSE)</f>
        <v>1</v>
      </c>
      <c r="AF28" s="43" t="b" cm="1">
        <f t="array" ref="AF28">IFERROR(_xlfn.BYROW(TRACK_TYPES[[#This Row],[TRACK_TYPE_NARROW_GAUGE_RAILTYPE_OHLE]:[TRACK_TYPE_NARROW_GAUGE_RAILTYPE_NONE]],_xlfn.LAMBDA(_xlpm.r,OR(_xlpm.r))),FALSE)</f>
        <v>0</v>
      </c>
      <c r="AG28" s="43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2754</v>
      </c>
      <c r="B29" s="45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43" t="b" cm="1">
        <f t="array" ref="AE29">IFERROR(_xlfn.BYROW(TRACK_TYPES[[#This Row],[TRACK_TYPE_STANDARD_GAUGE_RAILTYPE_OHLE]:[TRACK_TYPE_STANDARD_GAUGE_RAILTYPE_NONE]],_xlfn.LAMBDA(_xlpm.r,OR(_xlpm.r))),FALSE)</f>
        <v>1</v>
      </c>
      <c r="AF29" s="43" t="b" cm="1">
        <f t="array" ref="AF29">IFERROR(_xlfn.BYROW(TRACK_TYPES[[#This Row],[TRACK_TYPE_NARROW_GAUGE_RAILTYPE_OHLE]:[TRACK_TYPE_NARROW_GAUGE_RAILTYPE_NONE]],_xlfn.LAMBDA(_xlpm.r,OR(_xlpm.r))),FALSE)</f>
        <v>0</v>
      </c>
      <c r="AG29" s="43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2755</v>
      </c>
      <c r="B30" s="45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43" t="b" cm="1">
        <f t="array" ref="AE30">IFERROR(_xlfn.BYROW(TRACK_TYPES[[#This Row],[TRACK_TYPE_STANDARD_GAUGE_RAILTYPE_OHLE]:[TRACK_TYPE_STANDARD_GAUGE_RAILTYPE_NONE]],_xlfn.LAMBDA(_xlpm.r,OR(_xlpm.r))),FALSE)</f>
        <v>1</v>
      </c>
      <c r="AF30" s="43" t="b" cm="1">
        <f t="array" ref="AF30">IFERROR(_xlfn.BYROW(TRACK_TYPES[[#This Row],[TRACK_TYPE_NARROW_GAUGE_RAILTYPE_OHLE]:[TRACK_TYPE_NARROW_GAUGE_RAILTYPE_NONE]],_xlfn.LAMBDA(_xlpm.r,OR(_xlpm.r))),FALSE)</f>
        <v>0</v>
      </c>
      <c r="AG30" s="43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2756</v>
      </c>
      <c r="B31" s="45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43" t="b" cm="1">
        <f t="array" ref="AE31">IFERROR(_xlfn.BYROW(TRACK_TYPES[[#This Row],[TRACK_TYPE_STANDARD_GAUGE_RAILTYPE_OHLE]:[TRACK_TYPE_STANDARD_GAUGE_RAILTYPE_NONE]],_xlfn.LAMBDA(_xlpm.r,OR(_xlpm.r))),FALSE)</f>
        <v>1</v>
      </c>
      <c r="AF31" s="43" t="b" cm="1">
        <f t="array" ref="AF31">IFERROR(_xlfn.BYROW(TRACK_TYPES[[#This Row],[TRACK_TYPE_NARROW_GAUGE_RAILTYPE_OHLE]:[TRACK_TYPE_NARROW_GAUGE_RAILTYPE_NONE]],_xlfn.LAMBDA(_xlpm.r,OR(_xlpm.r))),FALSE)</f>
        <v>0</v>
      </c>
      <c r="AG31" s="43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2757</v>
      </c>
      <c r="B32" s="45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43" t="b" cm="1">
        <f t="array" ref="AE32">IFERROR(_xlfn.BYROW(TRACK_TYPES[[#This Row],[TRACK_TYPE_STANDARD_GAUGE_RAILTYPE_OHLE]:[TRACK_TYPE_STANDARD_GAUGE_RAILTYPE_NONE]],_xlfn.LAMBDA(_xlpm.r,OR(_xlpm.r))),FALSE)</f>
        <v>1</v>
      </c>
      <c r="AF32" s="43" t="b" cm="1">
        <f t="array" ref="AF32">IFERROR(_xlfn.BYROW(TRACK_TYPES[[#This Row],[TRACK_TYPE_NARROW_GAUGE_RAILTYPE_OHLE]:[TRACK_TYPE_NARROW_GAUGE_RAILTYPE_NONE]],_xlfn.LAMBDA(_xlpm.r,OR(_xlpm.r))),FALSE)</f>
        <v>0</v>
      </c>
      <c r="AG32" s="43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2758</v>
      </c>
      <c r="B33" s="45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43" t="b" cm="1">
        <f t="array" ref="AE33">IFERROR(_xlfn.BYROW(TRACK_TYPES[[#This Row],[TRACK_TYPE_STANDARD_GAUGE_RAILTYPE_OHLE]:[TRACK_TYPE_STANDARD_GAUGE_RAILTYPE_NONE]],_xlfn.LAMBDA(_xlpm.r,OR(_xlpm.r))),FALSE)</f>
        <v>0</v>
      </c>
      <c r="AF33" s="43" t="b" cm="1">
        <f t="array" ref="AF33">IFERROR(_xlfn.BYROW(TRACK_TYPES[[#This Row],[TRACK_TYPE_NARROW_GAUGE_RAILTYPE_OHLE]:[TRACK_TYPE_NARROW_GAUGE_RAILTYPE_NONE]],_xlfn.LAMBDA(_xlpm.r,OR(_xlpm.r))),FALSE)</f>
        <v>0</v>
      </c>
      <c r="AG33" s="43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2759</v>
      </c>
      <c r="B34" s="45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43" t="b" cm="1">
        <f t="array" ref="AE34">IFERROR(_xlfn.BYROW(TRACK_TYPES[[#This Row],[TRACK_TYPE_STANDARD_GAUGE_RAILTYPE_OHLE]:[TRACK_TYPE_STANDARD_GAUGE_RAILTYPE_NONE]],_xlfn.LAMBDA(_xlpm.r,OR(_xlpm.r))),FALSE)</f>
        <v>1</v>
      </c>
      <c r="AF34" s="43" t="b" cm="1">
        <f t="array" ref="AF34">IFERROR(_xlfn.BYROW(TRACK_TYPES[[#This Row],[TRACK_TYPE_NARROW_GAUGE_RAILTYPE_OHLE]:[TRACK_TYPE_NARROW_GAUGE_RAILTYPE_NONE]],_xlfn.LAMBDA(_xlpm.r,OR(_xlpm.r))),FALSE)</f>
        <v>0</v>
      </c>
      <c r="AG34" s="43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2760</v>
      </c>
      <c r="B35" s="45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43" t="b" cm="1">
        <f t="array" ref="AE35">IFERROR(_xlfn.BYROW(TRACK_TYPES[[#This Row],[TRACK_TYPE_STANDARD_GAUGE_RAILTYPE_OHLE]:[TRACK_TYPE_STANDARD_GAUGE_RAILTYPE_NONE]],_xlfn.LAMBDA(_xlpm.r,OR(_xlpm.r))),FALSE)</f>
        <v>1</v>
      </c>
      <c r="AF35" s="43" t="b" cm="1">
        <f t="array" ref="AF35">IFERROR(_xlfn.BYROW(TRACK_TYPES[[#This Row],[TRACK_TYPE_NARROW_GAUGE_RAILTYPE_OHLE]:[TRACK_TYPE_NARROW_GAUGE_RAILTYPE_NONE]],_xlfn.LAMBDA(_xlpm.r,OR(_xlpm.r))),FALSE)</f>
        <v>0</v>
      </c>
      <c r="AG35" s="43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2761</v>
      </c>
      <c r="B36" s="45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43" t="b" cm="1">
        <f t="array" ref="AE36">IFERROR(_xlfn.BYROW(TRACK_TYPES[[#This Row],[TRACK_TYPE_STANDARD_GAUGE_RAILTYPE_OHLE]:[TRACK_TYPE_STANDARD_GAUGE_RAILTYPE_NONE]],_xlfn.LAMBDA(_xlpm.r,OR(_xlpm.r))),FALSE)</f>
        <v>1</v>
      </c>
      <c r="AF36" s="43" t="b" cm="1">
        <f t="array" ref="AF36">IFERROR(_xlfn.BYROW(TRACK_TYPES[[#This Row],[TRACK_TYPE_NARROW_GAUGE_RAILTYPE_OHLE]:[TRACK_TYPE_NARROW_GAUGE_RAILTYPE_NONE]],_xlfn.LAMBDA(_xlpm.r,OR(_xlpm.r))),FALSE)</f>
        <v>0</v>
      </c>
      <c r="AG36" s="43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2762</v>
      </c>
      <c r="B37" s="45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43" t="b" cm="1">
        <f t="array" ref="AE37">IFERROR(_xlfn.BYROW(TRACK_TYPES[[#This Row],[TRACK_TYPE_STANDARD_GAUGE_RAILTYPE_OHLE]:[TRACK_TYPE_STANDARD_GAUGE_RAILTYPE_NONE]],_xlfn.LAMBDA(_xlpm.r,OR(_xlpm.r))),FALSE)</f>
        <v>1</v>
      </c>
      <c r="AF37" s="43" t="b" cm="1">
        <f t="array" ref="AF37">IFERROR(_xlfn.BYROW(TRACK_TYPES[[#This Row],[TRACK_TYPE_NARROW_GAUGE_RAILTYPE_OHLE]:[TRACK_TYPE_NARROW_GAUGE_RAILTYPE_NONE]],_xlfn.LAMBDA(_xlpm.r,OR(_xlpm.r))),FALSE)</f>
        <v>0</v>
      </c>
      <c r="AG37" s="43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2763</v>
      </c>
      <c r="B38" s="45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43" t="b" cm="1">
        <f t="array" ref="AE38">IFERROR(_xlfn.BYROW(TRACK_TYPES[[#This Row],[TRACK_TYPE_STANDARD_GAUGE_RAILTYPE_OHLE]:[TRACK_TYPE_STANDARD_GAUGE_RAILTYPE_NONE]],_xlfn.LAMBDA(_xlpm.r,OR(_xlpm.r))),FALSE)</f>
        <v>1</v>
      </c>
      <c r="AF38" s="43" t="b" cm="1">
        <f t="array" ref="AF38">IFERROR(_xlfn.BYROW(TRACK_TYPES[[#This Row],[TRACK_TYPE_NARROW_GAUGE_RAILTYPE_OHLE]:[TRACK_TYPE_NARROW_GAUGE_RAILTYPE_NONE]],_xlfn.LAMBDA(_xlpm.r,OR(_xlpm.r))),FALSE)</f>
        <v>0</v>
      </c>
      <c r="AG38" s="43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2764</v>
      </c>
      <c r="B39" s="45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43" t="b" cm="1">
        <f t="array" ref="AE39">IFERROR(_xlfn.BYROW(TRACK_TYPES[[#This Row],[TRACK_TYPE_STANDARD_GAUGE_RAILTYPE_OHLE]:[TRACK_TYPE_STANDARD_GAUGE_RAILTYPE_NONE]],_xlfn.LAMBDA(_xlpm.r,OR(_xlpm.r))),FALSE)</f>
        <v>1</v>
      </c>
      <c r="AF39" s="43" t="b" cm="1">
        <f t="array" ref="AF39">IFERROR(_xlfn.BYROW(TRACK_TYPES[[#This Row],[TRACK_TYPE_NARROW_GAUGE_RAILTYPE_OHLE]:[TRACK_TYPE_NARROW_GAUGE_RAILTYPE_NONE]],_xlfn.LAMBDA(_xlpm.r,OR(_xlpm.r))),FALSE)</f>
        <v>0</v>
      </c>
      <c r="AG39" s="43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2765</v>
      </c>
      <c r="B40" s="45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43" t="b" cm="1">
        <f t="array" ref="AE40">IFERROR(_xlfn.BYROW(TRACK_TYPES[[#This Row],[TRACK_TYPE_STANDARD_GAUGE_RAILTYPE_OHLE]:[TRACK_TYPE_STANDARD_GAUGE_RAILTYPE_NONE]],_xlfn.LAMBDA(_xlpm.r,OR(_xlpm.r))),FALSE)</f>
        <v>1</v>
      </c>
      <c r="AF40" s="43" t="b" cm="1">
        <f t="array" ref="AF40">IFERROR(_xlfn.BYROW(TRACK_TYPES[[#This Row],[TRACK_TYPE_NARROW_GAUGE_RAILTYPE_OHLE]:[TRACK_TYPE_NARROW_GAUGE_RAILTYPE_NONE]],_xlfn.LAMBDA(_xlpm.r,OR(_xlpm.r))),FALSE)</f>
        <v>0</v>
      </c>
      <c r="AG40" s="43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2766</v>
      </c>
      <c r="B41" s="45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43" t="b" cm="1">
        <f t="array" ref="AE41">IFERROR(_xlfn.BYROW(TRACK_TYPES[[#This Row],[TRACK_TYPE_STANDARD_GAUGE_RAILTYPE_OHLE]:[TRACK_TYPE_STANDARD_GAUGE_RAILTYPE_NONE]],_xlfn.LAMBDA(_xlpm.r,OR(_xlpm.r))),FALSE)</f>
        <v>0</v>
      </c>
      <c r="AF41" s="43" t="b" cm="1">
        <f t="array" ref="AF41">IFERROR(_xlfn.BYROW(TRACK_TYPES[[#This Row],[TRACK_TYPE_NARROW_GAUGE_RAILTYPE_OHLE]:[TRACK_TYPE_NARROW_GAUGE_RAILTYPE_NONE]],_xlfn.LAMBDA(_xlpm.r,OR(_xlpm.r))),FALSE)</f>
        <v>1</v>
      </c>
      <c r="AG41" s="43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2767</v>
      </c>
      <c r="B42" s="45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43" t="b" cm="1">
        <f t="array" ref="AE42">IFERROR(_xlfn.BYROW(TRACK_TYPES[[#This Row],[TRACK_TYPE_STANDARD_GAUGE_RAILTYPE_OHLE]:[TRACK_TYPE_STANDARD_GAUGE_RAILTYPE_NONE]],_xlfn.LAMBDA(_xlpm.r,OR(_xlpm.r))),FALSE)</f>
        <v>1</v>
      </c>
      <c r="AF42" s="43" t="b" cm="1">
        <f t="array" ref="AF42">IFERROR(_xlfn.BYROW(TRACK_TYPES[[#This Row],[TRACK_TYPE_NARROW_GAUGE_RAILTYPE_OHLE]:[TRACK_TYPE_NARROW_GAUGE_RAILTYPE_NONE]],_xlfn.LAMBDA(_xlpm.r,OR(_xlpm.r))),FALSE)</f>
        <v>0</v>
      </c>
      <c r="AG42" s="43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2768</v>
      </c>
      <c r="B43" s="45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43" t="b" cm="1">
        <f t="array" ref="AE43">IFERROR(_xlfn.BYROW(TRACK_TYPES[[#This Row],[TRACK_TYPE_STANDARD_GAUGE_RAILTYPE_OHLE]:[TRACK_TYPE_STANDARD_GAUGE_RAILTYPE_NONE]],_xlfn.LAMBDA(_xlpm.r,OR(_xlpm.r))),FALSE)</f>
        <v>1</v>
      </c>
      <c r="AF43" s="43" t="b" cm="1">
        <f t="array" ref="AF43">IFERROR(_xlfn.BYROW(TRACK_TYPES[[#This Row],[TRACK_TYPE_NARROW_GAUGE_RAILTYPE_OHLE]:[TRACK_TYPE_NARROW_GAUGE_RAILTYPE_NONE]],_xlfn.LAMBDA(_xlpm.r,OR(_xlpm.r))),FALSE)</f>
        <v>0</v>
      </c>
      <c r="AG43" s="43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2769</v>
      </c>
      <c r="B44" s="45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43" t="b" cm="1">
        <f t="array" ref="AE44">IFERROR(_xlfn.BYROW(TRACK_TYPES[[#This Row],[TRACK_TYPE_STANDARD_GAUGE_RAILTYPE_OHLE]:[TRACK_TYPE_STANDARD_GAUGE_RAILTYPE_NONE]],_xlfn.LAMBDA(_xlpm.r,OR(_xlpm.r))),FALSE)</f>
        <v>1</v>
      </c>
      <c r="AF44" s="43" t="b" cm="1">
        <f t="array" ref="AF44">IFERROR(_xlfn.BYROW(TRACK_TYPES[[#This Row],[TRACK_TYPE_NARROW_GAUGE_RAILTYPE_OHLE]:[TRACK_TYPE_NARROW_GAUGE_RAILTYPE_NONE]],_xlfn.LAMBDA(_xlpm.r,OR(_xlpm.r))),FALSE)</f>
        <v>0</v>
      </c>
      <c r="AG44" s="43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2770</v>
      </c>
      <c r="B45" s="45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43" t="b" cm="1">
        <f t="array" ref="AE45">IFERROR(_xlfn.BYROW(TRACK_TYPES[[#This Row],[TRACK_TYPE_STANDARD_GAUGE_RAILTYPE_OHLE]:[TRACK_TYPE_STANDARD_GAUGE_RAILTYPE_NONE]],_xlfn.LAMBDA(_xlpm.r,OR(_xlpm.r))),FALSE)</f>
        <v>1</v>
      </c>
      <c r="AF45" s="43" t="b" cm="1">
        <f t="array" ref="AF45">IFERROR(_xlfn.BYROW(TRACK_TYPES[[#This Row],[TRACK_TYPE_NARROW_GAUGE_RAILTYPE_OHLE]:[TRACK_TYPE_NARROW_GAUGE_RAILTYPE_NONE]],_xlfn.LAMBDA(_xlpm.r,OR(_xlpm.r))),FALSE)</f>
        <v>0</v>
      </c>
      <c r="AG45" s="43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2771</v>
      </c>
      <c r="B46" s="45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43" t="b" cm="1">
        <f t="array" ref="AE46">IFERROR(_xlfn.BYROW(TRACK_TYPES[[#This Row],[TRACK_TYPE_STANDARD_GAUGE_RAILTYPE_OHLE]:[TRACK_TYPE_STANDARD_GAUGE_RAILTYPE_NONE]],_xlfn.LAMBDA(_xlpm.r,OR(_xlpm.r))),FALSE)</f>
        <v>1</v>
      </c>
      <c r="AF46" s="43" t="b" cm="1">
        <f t="array" ref="AF46">IFERROR(_xlfn.BYROW(TRACK_TYPES[[#This Row],[TRACK_TYPE_NARROW_GAUGE_RAILTYPE_OHLE]:[TRACK_TYPE_NARROW_GAUGE_RAILTYPE_NONE]],_xlfn.LAMBDA(_xlpm.r,OR(_xlpm.r))),FALSE)</f>
        <v>0</v>
      </c>
      <c r="AG46" s="43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2772</v>
      </c>
      <c r="B47" s="45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43" t="b" cm="1">
        <f t="array" ref="AE47">IFERROR(_xlfn.BYROW(TRACK_TYPES[[#This Row],[TRACK_TYPE_STANDARD_GAUGE_RAILTYPE_OHLE]:[TRACK_TYPE_STANDARD_GAUGE_RAILTYPE_NONE]],_xlfn.LAMBDA(_xlpm.r,OR(_xlpm.r))),FALSE)</f>
        <v>0</v>
      </c>
      <c r="AF47" s="43" t="b" cm="1">
        <f t="array" ref="AF47">IFERROR(_xlfn.BYROW(TRACK_TYPES[[#This Row],[TRACK_TYPE_NARROW_GAUGE_RAILTYPE_OHLE]:[TRACK_TYPE_NARROW_GAUGE_RAILTYPE_NONE]],_xlfn.LAMBDA(_xlpm.r,OR(_xlpm.r))),FALSE)</f>
        <v>0</v>
      </c>
      <c r="AG47" s="43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3536</v>
      </c>
      <c r="B48" s="45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43" t="b" cm="1">
        <f t="array" ref="AE48">IFERROR(_xlfn.BYROW(TRACK_TYPES[[#This Row],[TRACK_TYPE_STANDARD_GAUGE_RAILTYPE_OHLE]:[TRACK_TYPE_STANDARD_GAUGE_RAILTYPE_NONE]],_xlfn.LAMBDA(_xlpm.r,OR(_xlpm.r))),FALSE)</f>
        <v>1</v>
      </c>
      <c r="AF48" s="43" t="b" cm="1">
        <f t="array" ref="AF48">IFERROR(_xlfn.BYROW(TRACK_TYPES[[#This Row],[TRACK_TYPE_NARROW_GAUGE_RAILTYPE_OHLE]:[TRACK_TYPE_NARROW_GAUGE_RAILTYPE_NONE]],_xlfn.LAMBDA(_xlpm.r,OR(_xlpm.r))),FALSE)</f>
        <v>0</v>
      </c>
      <c r="AG48" s="43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2773</v>
      </c>
      <c r="B49" s="45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43" t="b" cm="1">
        <f t="array" ref="AE49">IFERROR(_xlfn.BYROW(TRACK_TYPES[[#This Row],[TRACK_TYPE_STANDARD_GAUGE_RAILTYPE_OHLE]:[TRACK_TYPE_STANDARD_GAUGE_RAILTYPE_NONE]],_xlfn.LAMBDA(_xlpm.r,OR(_xlpm.r))),FALSE)</f>
        <v>1</v>
      </c>
      <c r="AF49" s="43" t="b" cm="1">
        <f t="array" ref="AF49">IFERROR(_xlfn.BYROW(TRACK_TYPES[[#This Row],[TRACK_TYPE_NARROW_GAUGE_RAILTYPE_OHLE]:[TRACK_TYPE_NARROW_GAUGE_RAILTYPE_NONE]],_xlfn.LAMBDA(_xlpm.r,OR(_xlpm.r))),FALSE)</f>
        <v>0</v>
      </c>
      <c r="AG49" s="43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2774</v>
      </c>
      <c r="B50" s="45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43" t="b" cm="1">
        <f t="array" ref="AE50">IFERROR(_xlfn.BYROW(TRACK_TYPES[[#This Row],[TRACK_TYPE_STANDARD_GAUGE_RAILTYPE_OHLE]:[TRACK_TYPE_STANDARD_GAUGE_RAILTYPE_NONE]],_xlfn.LAMBDA(_xlpm.r,OR(_xlpm.r))),FALSE)</f>
        <v>1</v>
      </c>
      <c r="AF50" s="43" t="b" cm="1">
        <f t="array" ref="AF50">IFERROR(_xlfn.BYROW(TRACK_TYPES[[#This Row],[TRACK_TYPE_NARROW_GAUGE_RAILTYPE_OHLE]:[TRACK_TYPE_NARROW_GAUGE_RAILTYPE_NONE]],_xlfn.LAMBDA(_xlpm.r,OR(_xlpm.r))),FALSE)</f>
        <v>0</v>
      </c>
      <c r="AG50" s="43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2775</v>
      </c>
      <c r="B51" s="45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43" t="b" cm="1">
        <f t="array" ref="AE51">IFERROR(_xlfn.BYROW(TRACK_TYPES[[#This Row],[TRACK_TYPE_STANDARD_GAUGE_RAILTYPE_OHLE]:[TRACK_TYPE_STANDARD_GAUGE_RAILTYPE_NONE]],_xlfn.LAMBDA(_xlpm.r,OR(_xlpm.r))),FALSE)</f>
        <v>1</v>
      </c>
      <c r="AF51" s="43" t="b" cm="1">
        <f t="array" ref="AF51">IFERROR(_xlfn.BYROW(TRACK_TYPES[[#This Row],[TRACK_TYPE_NARROW_GAUGE_RAILTYPE_OHLE]:[TRACK_TYPE_NARROW_GAUGE_RAILTYPE_NONE]],_xlfn.LAMBDA(_xlpm.r,OR(_xlpm.r))),FALSE)</f>
        <v>0</v>
      </c>
      <c r="AG51" s="43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2776</v>
      </c>
      <c r="B52" s="45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43" t="b" cm="1">
        <f t="array" ref="AE52">IFERROR(_xlfn.BYROW(TRACK_TYPES[[#This Row],[TRACK_TYPE_STANDARD_GAUGE_RAILTYPE_OHLE]:[TRACK_TYPE_STANDARD_GAUGE_RAILTYPE_NONE]],_xlfn.LAMBDA(_xlpm.r,OR(_xlpm.r))),FALSE)</f>
        <v>1</v>
      </c>
      <c r="AF52" s="43" t="b" cm="1">
        <f t="array" ref="AF52">IFERROR(_xlfn.BYROW(TRACK_TYPES[[#This Row],[TRACK_TYPE_NARROW_GAUGE_RAILTYPE_OHLE]:[TRACK_TYPE_NARROW_GAUGE_RAILTYPE_NONE]],_xlfn.LAMBDA(_xlpm.r,OR(_xlpm.r))),FALSE)</f>
        <v>0</v>
      </c>
      <c r="AG52" s="43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3553</v>
      </c>
      <c r="B53" s="45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43" t="b" cm="1">
        <f t="array" ref="AE53">IFERROR(_xlfn.BYROW(TRACK_TYPES[[#This Row],[TRACK_TYPE_STANDARD_GAUGE_RAILTYPE_OHLE]:[TRACK_TYPE_STANDARD_GAUGE_RAILTYPE_NONE]],_xlfn.LAMBDA(_xlpm.r,OR(_xlpm.r))),FALSE)</f>
        <v>1</v>
      </c>
      <c r="AF53" s="43" t="b" cm="1">
        <f t="array" ref="AF53">IFERROR(_xlfn.BYROW(TRACK_TYPES[[#This Row],[TRACK_TYPE_NARROW_GAUGE_RAILTYPE_OHLE]:[TRACK_TYPE_NARROW_GAUGE_RAILTYPE_NONE]],_xlfn.LAMBDA(_xlpm.r,OR(_xlpm.r))),FALSE)</f>
        <v>0</v>
      </c>
      <c r="AG53" s="43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2777</v>
      </c>
      <c r="B54" s="45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43" t="b" cm="1">
        <f t="array" ref="AE54">IFERROR(_xlfn.BYROW(TRACK_TYPES[[#This Row],[TRACK_TYPE_STANDARD_GAUGE_RAILTYPE_OHLE]:[TRACK_TYPE_STANDARD_GAUGE_RAILTYPE_NONE]],_xlfn.LAMBDA(_xlpm.r,OR(_xlpm.r))),FALSE)</f>
        <v>0</v>
      </c>
      <c r="AF54" s="43" t="b" cm="1">
        <f t="array" ref="AF54">IFERROR(_xlfn.BYROW(TRACK_TYPES[[#This Row],[TRACK_TYPE_NARROW_GAUGE_RAILTYPE_OHLE]:[TRACK_TYPE_NARROW_GAUGE_RAILTYPE_NONE]],_xlfn.LAMBDA(_xlpm.r,OR(_xlpm.r))),FALSE)</f>
        <v>1</v>
      </c>
      <c r="AG54" s="43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2778</v>
      </c>
      <c r="B55" s="45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43" t="b" cm="1">
        <f t="array" ref="AE55">IFERROR(_xlfn.BYROW(TRACK_TYPES[[#This Row],[TRACK_TYPE_STANDARD_GAUGE_RAILTYPE_OHLE]:[TRACK_TYPE_STANDARD_GAUGE_RAILTYPE_NONE]],_xlfn.LAMBDA(_xlpm.r,OR(_xlpm.r))),FALSE)</f>
        <v>1</v>
      </c>
      <c r="AF55" s="43" t="b" cm="1">
        <f t="array" ref="AF55">IFERROR(_xlfn.BYROW(TRACK_TYPES[[#This Row],[TRACK_TYPE_NARROW_GAUGE_RAILTYPE_OHLE]:[TRACK_TYPE_NARROW_GAUGE_RAILTYPE_NONE]],_xlfn.LAMBDA(_xlpm.r,OR(_xlpm.r))),FALSE)</f>
        <v>0</v>
      </c>
      <c r="AG55" s="43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2779</v>
      </c>
      <c r="B56" s="45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43" t="b" cm="1">
        <f t="array" ref="AE56">IFERROR(_xlfn.BYROW(TRACK_TYPES[[#This Row],[TRACK_TYPE_STANDARD_GAUGE_RAILTYPE_OHLE]:[TRACK_TYPE_STANDARD_GAUGE_RAILTYPE_NONE]],_xlfn.LAMBDA(_xlpm.r,OR(_xlpm.r))),FALSE)</f>
        <v>1</v>
      </c>
      <c r="AF56" s="43" t="b" cm="1">
        <f t="array" ref="AF56">IFERROR(_xlfn.BYROW(TRACK_TYPES[[#This Row],[TRACK_TYPE_NARROW_GAUGE_RAILTYPE_OHLE]:[TRACK_TYPE_NARROW_GAUGE_RAILTYPE_NONE]],_xlfn.LAMBDA(_xlpm.r,OR(_xlpm.r))),FALSE)</f>
        <v>0</v>
      </c>
      <c r="AG56" s="43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2780</v>
      </c>
      <c r="B57" s="45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43" t="b" cm="1">
        <f t="array" ref="AE57">IFERROR(_xlfn.BYROW(TRACK_TYPES[[#This Row],[TRACK_TYPE_STANDARD_GAUGE_RAILTYPE_OHLE]:[TRACK_TYPE_STANDARD_GAUGE_RAILTYPE_NONE]],_xlfn.LAMBDA(_xlpm.r,OR(_xlpm.r))),FALSE)</f>
        <v>1</v>
      </c>
      <c r="AF57" s="43" t="b" cm="1">
        <f t="array" ref="AF57">IFERROR(_xlfn.BYROW(TRACK_TYPES[[#This Row],[TRACK_TYPE_NARROW_GAUGE_RAILTYPE_OHLE]:[TRACK_TYPE_NARROW_GAUGE_RAILTYPE_NONE]],_xlfn.LAMBDA(_xlpm.r,OR(_xlpm.r))),FALSE)</f>
        <v>0</v>
      </c>
      <c r="AG57" s="43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2781</v>
      </c>
      <c r="B58" s="45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43" t="b" cm="1">
        <f t="array" ref="AE58">IFERROR(_xlfn.BYROW(TRACK_TYPES[[#This Row],[TRACK_TYPE_STANDARD_GAUGE_RAILTYPE_OHLE]:[TRACK_TYPE_STANDARD_GAUGE_RAILTYPE_NONE]],_xlfn.LAMBDA(_xlpm.r,OR(_xlpm.r))),FALSE)</f>
        <v>1</v>
      </c>
      <c r="AF58" s="43" t="b" cm="1">
        <f t="array" ref="AF58">IFERROR(_xlfn.BYROW(TRACK_TYPES[[#This Row],[TRACK_TYPE_NARROW_GAUGE_RAILTYPE_OHLE]:[TRACK_TYPE_NARROW_GAUGE_RAILTYPE_NONE]],_xlfn.LAMBDA(_xlpm.r,OR(_xlpm.r))),FALSE)</f>
        <v>0</v>
      </c>
      <c r="AG58" s="43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2782</v>
      </c>
      <c r="B59" s="45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43" t="b" cm="1">
        <f t="array" ref="AE59">IFERROR(_xlfn.BYROW(TRACK_TYPES[[#This Row],[TRACK_TYPE_STANDARD_GAUGE_RAILTYPE_OHLE]:[TRACK_TYPE_STANDARD_GAUGE_RAILTYPE_NONE]],_xlfn.LAMBDA(_xlpm.r,OR(_xlpm.r))),FALSE)</f>
        <v>1</v>
      </c>
      <c r="AF59" s="43" t="b" cm="1">
        <f t="array" ref="AF59">IFERROR(_xlfn.BYROW(TRACK_TYPES[[#This Row],[TRACK_TYPE_NARROW_GAUGE_RAILTYPE_OHLE]:[TRACK_TYPE_NARROW_GAUGE_RAILTYPE_NONE]],_xlfn.LAMBDA(_xlpm.r,OR(_xlpm.r))),FALSE)</f>
        <v>0</v>
      </c>
      <c r="AG59" s="43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2783</v>
      </c>
      <c r="B60" s="45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43" t="b" cm="1">
        <f t="array" ref="AE60">IFERROR(_xlfn.BYROW(TRACK_TYPES[[#This Row],[TRACK_TYPE_STANDARD_GAUGE_RAILTYPE_OHLE]:[TRACK_TYPE_STANDARD_GAUGE_RAILTYPE_NONE]],_xlfn.LAMBDA(_xlpm.r,OR(_xlpm.r))),FALSE)</f>
        <v>1</v>
      </c>
      <c r="AF60" s="43" t="b" cm="1">
        <f t="array" ref="AF60">IFERROR(_xlfn.BYROW(TRACK_TYPES[[#This Row],[TRACK_TYPE_NARROW_GAUGE_RAILTYPE_OHLE]:[TRACK_TYPE_NARROW_GAUGE_RAILTYPE_NONE]],_xlfn.LAMBDA(_xlpm.r,OR(_xlpm.r))),FALSE)</f>
        <v>0</v>
      </c>
      <c r="AG60" s="43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2784</v>
      </c>
      <c r="B61" s="45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43" t="b" cm="1">
        <f t="array" ref="AE61">IFERROR(_xlfn.BYROW(TRACK_TYPES[[#This Row],[TRACK_TYPE_STANDARD_GAUGE_RAILTYPE_OHLE]:[TRACK_TYPE_STANDARD_GAUGE_RAILTYPE_NONE]],_xlfn.LAMBDA(_xlpm.r,OR(_xlpm.r))),FALSE)</f>
        <v>1</v>
      </c>
      <c r="AF61" s="43" t="b" cm="1">
        <f t="array" ref="AF61">IFERROR(_xlfn.BYROW(TRACK_TYPES[[#This Row],[TRACK_TYPE_NARROW_GAUGE_RAILTYPE_OHLE]:[TRACK_TYPE_NARROW_GAUGE_RAILTYPE_NONE]],_xlfn.LAMBDA(_xlpm.r,OR(_xlpm.r))),FALSE)</f>
        <v>0</v>
      </c>
      <c r="AG61" s="43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2785</v>
      </c>
      <c r="B62" s="45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43" t="b" cm="1">
        <f t="array" ref="AE62">IFERROR(_xlfn.BYROW(TRACK_TYPES[[#This Row],[TRACK_TYPE_STANDARD_GAUGE_RAILTYPE_OHLE]:[TRACK_TYPE_STANDARD_GAUGE_RAILTYPE_NONE]],_xlfn.LAMBDA(_xlpm.r,OR(_xlpm.r))),FALSE)</f>
        <v>1</v>
      </c>
      <c r="AF62" s="43" t="b" cm="1">
        <f t="array" ref="AF62">IFERROR(_xlfn.BYROW(TRACK_TYPES[[#This Row],[TRACK_TYPE_NARROW_GAUGE_RAILTYPE_OHLE]:[TRACK_TYPE_NARROW_GAUGE_RAILTYPE_NONE]],_xlfn.LAMBDA(_xlpm.r,OR(_xlpm.r))),FALSE)</f>
        <v>0</v>
      </c>
      <c r="AG62" s="43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2786</v>
      </c>
      <c r="B63" s="45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43" t="b" cm="1">
        <f t="array" ref="AE63">IFERROR(_xlfn.BYROW(TRACK_TYPES[[#This Row],[TRACK_TYPE_STANDARD_GAUGE_RAILTYPE_OHLE]:[TRACK_TYPE_STANDARD_GAUGE_RAILTYPE_NONE]],_xlfn.LAMBDA(_xlpm.r,OR(_xlpm.r))),FALSE)</f>
        <v>1</v>
      </c>
      <c r="AF63" s="43" t="b" cm="1">
        <f t="array" ref="AF63">IFERROR(_xlfn.BYROW(TRACK_TYPES[[#This Row],[TRACK_TYPE_NARROW_GAUGE_RAILTYPE_OHLE]:[TRACK_TYPE_NARROW_GAUGE_RAILTYPE_NONE]],_xlfn.LAMBDA(_xlpm.r,OR(_xlpm.r))),FALSE)</f>
        <v>0</v>
      </c>
      <c r="AG63" s="43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2787</v>
      </c>
      <c r="B64" s="45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43" t="b" cm="1">
        <f t="array" ref="AE64">IFERROR(_xlfn.BYROW(TRACK_TYPES[[#This Row],[TRACK_TYPE_STANDARD_GAUGE_RAILTYPE_OHLE]:[TRACK_TYPE_STANDARD_GAUGE_RAILTYPE_NONE]],_xlfn.LAMBDA(_xlpm.r,OR(_xlpm.r))),FALSE)</f>
        <v>1</v>
      </c>
      <c r="AF64" s="43" t="b" cm="1">
        <f t="array" ref="AF64">IFERROR(_xlfn.BYROW(TRACK_TYPES[[#This Row],[TRACK_TYPE_NARROW_GAUGE_RAILTYPE_OHLE]:[TRACK_TYPE_NARROW_GAUGE_RAILTYPE_NONE]],_xlfn.LAMBDA(_xlpm.r,OR(_xlpm.r))),FALSE)</f>
        <v>0</v>
      </c>
      <c r="AG64" s="43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2788</v>
      </c>
      <c r="B65" s="45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43" t="b" cm="1">
        <f t="array" ref="AE65">IFERROR(_xlfn.BYROW(TRACK_TYPES[[#This Row],[TRACK_TYPE_STANDARD_GAUGE_RAILTYPE_OHLE]:[TRACK_TYPE_STANDARD_GAUGE_RAILTYPE_NONE]],_xlfn.LAMBDA(_xlpm.r,OR(_xlpm.r))),FALSE)</f>
        <v>1</v>
      </c>
      <c r="AF65" s="43" t="b" cm="1">
        <f t="array" ref="AF65">IFERROR(_xlfn.BYROW(TRACK_TYPES[[#This Row],[TRACK_TYPE_NARROW_GAUGE_RAILTYPE_OHLE]:[TRACK_TYPE_NARROW_GAUGE_RAILTYPE_NONE]],_xlfn.LAMBDA(_xlpm.r,OR(_xlpm.r))),FALSE)</f>
        <v>0</v>
      </c>
      <c r="AG65" s="43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2789</v>
      </c>
      <c r="B66" s="45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43" t="b" cm="1">
        <f t="array" ref="AE66">IFERROR(_xlfn.BYROW(TRACK_TYPES[[#This Row],[TRACK_TYPE_STANDARD_GAUGE_RAILTYPE_OHLE]:[TRACK_TYPE_STANDARD_GAUGE_RAILTYPE_NONE]],_xlfn.LAMBDA(_xlpm.r,OR(_xlpm.r))),FALSE)</f>
        <v>1</v>
      </c>
      <c r="AF66" s="43" t="b" cm="1">
        <f t="array" ref="AF66">IFERROR(_xlfn.BYROW(TRACK_TYPES[[#This Row],[TRACK_TYPE_NARROW_GAUGE_RAILTYPE_OHLE]:[TRACK_TYPE_NARROW_GAUGE_RAILTYPE_NONE]],_xlfn.LAMBDA(_xlpm.r,OR(_xlpm.r))),FALSE)</f>
        <v>0</v>
      </c>
      <c r="AG66" s="43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2790</v>
      </c>
      <c r="B67" s="45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43" t="b" cm="1">
        <f t="array" ref="AE67">IFERROR(_xlfn.BYROW(TRACK_TYPES[[#This Row],[TRACK_TYPE_STANDARD_GAUGE_RAILTYPE_OHLE]:[TRACK_TYPE_STANDARD_GAUGE_RAILTYPE_NONE]],_xlfn.LAMBDA(_xlpm.r,OR(_xlpm.r))),FALSE)</f>
        <v>1</v>
      </c>
      <c r="AF67" s="43" t="b" cm="1">
        <f t="array" ref="AF67">IFERROR(_xlfn.BYROW(TRACK_TYPES[[#This Row],[TRACK_TYPE_NARROW_GAUGE_RAILTYPE_OHLE]:[TRACK_TYPE_NARROW_GAUGE_RAILTYPE_NONE]],_xlfn.LAMBDA(_xlpm.r,OR(_xlpm.r))),FALSE)</f>
        <v>0</v>
      </c>
      <c r="AG67" s="43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2791</v>
      </c>
      <c r="B68" s="45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43" t="b" cm="1">
        <f t="array" ref="AE68">IFERROR(_xlfn.BYROW(TRACK_TYPES[[#This Row],[TRACK_TYPE_STANDARD_GAUGE_RAILTYPE_OHLE]:[TRACK_TYPE_STANDARD_GAUGE_RAILTYPE_NONE]],_xlfn.LAMBDA(_xlpm.r,OR(_xlpm.r))),FALSE)</f>
        <v>1</v>
      </c>
      <c r="AF68" s="43" t="b" cm="1">
        <f t="array" ref="AF68">IFERROR(_xlfn.BYROW(TRACK_TYPES[[#This Row],[TRACK_TYPE_NARROW_GAUGE_RAILTYPE_OHLE]:[TRACK_TYPE_NARROW_GAUGE_RAILTYPE_NONE]],_xlfn.LAMBDA(_xlpm.r,OR(_xlpm.r))),FALSE)</f>
        <v>0</v>
      </c>
      <c r="AG68" s="43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2792</v>
      </c>
      <c r="B69" s="45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43" t="b" cm="1">
        <f t="array" ref="AE69">IFERROR(_xlfn.BYROW(TRACK_TYPES[[#This Row],[TRACK_TYPE_STANDARD_GAUGE_RAILTYPE_OHLE]:[TRACK_TYPE_STANDARD_GAUGE_RAILTYPE_NONE]],_xlfn.LAMBDA(_xlpm.r,OR(_xlpm.r))),FALSE)</f>
        <v>1</v>
      </c>
      <c r="AF69" s="43" t="b" cm="1">
        <f t="array" ref="AF69">IFERROR(_xlfn.BYROW(TRACK_TYPES[[#This Row],[TRACK_TYPE_NARROW_GAUGE_RAILTYPE_OHLE]:[TRACK_TYPE_NARROW_GAUGE_RAILTYPE_NONE]],_xlfn.LAMBDA(_xlpm.r,OR(_xlpm.r))),FALSE)</f>
        <v>0</v>
      </c>
      <c r="AG69" s="43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2793</v>
      </c>
      <c r="B70" s="45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43" t="b" cm="1">
        <f t="array" ref="AE70">IFERROR(_xlfn.BYROW(TRACK_TYPES[[#This Row],[TRACK_TYPE_STANDARD_GAUGE_RAILTYPE_OHLE]:[TRACK_TYPE_STANDARD_GAUGE_RAILTYPE_NONE]],_xlfn.LAMBDA(_xlpm.r,OR(_xlpm.r))),FALSE)</f>
        <v>1</v>
      </c>
      <c r="AF70" s="43" t="b" cm="1">
        <f t="array" ref="AF70">IFERROR(_xlfn.BYROW(TRACK_TYPES[[#This Row],[TRACK_TYPE_NARROW_GAUGE_RAILTYPE_OHLE]:[TRACK_TYPE_NARROW_GAUGE_RAILTYPE_NONE]],_xlfn.LAMBDA(_xlpm.r,OR(_xlpm.r))),FALSE)</f>
        <v>0</v>
      </c>
      <c r="AG70" s="43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2794</v>
      </c>
      <c r="B71" s="45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43" t="b" cm="1">
        <f t="array" ref="AE71">IFERROR(_xlfn.BYROW(TRACK_TYPES[[#This Row],[TRACK_TYPE_STANDARD_GAUGE_RAILTYPE_OHLE]:[TRACK_TYPE_STANDARD_GAUGE_RAILTYPE_NONE]],_xlfn.LAMBDA(_xlpm.r,OR(_xlpm.r))),FALSE)</f>
        <v>1</v>
      </c>
      <c r="AF71" s="43" t="b" cm="1">
        <f t="array" ref="AF71">IFERROR(_xlfn.BYROW(TRACK_TYPES[[#This Row],[TRACK_TYPE_NARROW_GAUGE_RAILTYPE_OHLE]:[TRACK_TYPE_NARROW_GAUGE_RAILTYPE_NONE]],_xlfn.LAMBDA(_xlpm.r,OR(_xlpm.r))),FALSE)</f>
        <v>0</v>
      </c>
      <c r="AG71" s="43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2795</v>
      </c>
      <c r="B72" s="45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43" t="b" cm="1">
        <f t="array" ref="AE72">IFERROR(_xlfn.BYROW(TRACK_TYPES[[#This Row],[TRACK_TYPE_STANDARD_GAUGE_RAILTYPE_OHLE]:[TRACK_TYPE_STANDARD_GAUGE_RAILTYPE_NONE]],_xlfn.LAMBDA(_xlpm.r,OR(_xlpm.r))),FALSE)</f>
        <v>1</v>
      </c>
      <c r="AF72" s="43" t="b" cm="1">
        <f t="array" ref="AF72">IFERROR(_xlfn.BYROW(TRACK_TYPES[[#This Row],[TRACK_TYPE_NARROW_GAUGE_RAILTYPE_OHLE]:[TRACK_TYPE_NARROW_GAUGE_RAILTYPE_NONE]],_xlfn.LAMBDA(_xlpm.r,OR(_xlpm.r))),FALSE)</f>
        <v>0</v>
      </c>
      <c r="AG72" s="43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2796</v>
      </c>
      <c r="B73" s="45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43" t="b" cm="1">
        <f t="array" ref="AE73">IFERROR(_xlfn.BYROW(TRACK_TYPES[[#This Row],[TRACK_TYPE_STANDARD_GAUGE_RAILTYPE_OHLE]:[TRACK_TYPE_STANDARD_GAUGE_RAILTYPE_NONE]],_xlfn.LAMBDA(_xlpm.r,OR(_xlpm.r))),FALSE)</f>
        <v>1</v>
      </c>
      <c r="AF73" s="43" t="b" cm="1">
        <f t="array" ref="AF73">IFERROR(_xlfn.BYROW(TRACK_TYPES[[#This Row],[TRACK_TYPE_NARROW_GAUGE_RAILTYPE_OHLE]:[TRACK_TYPE_NARROW_GAUGE_RAILTYPE_NONE]],_xlfn.LAMBDA(_xlpm.r,OR(_xlpm.r))),FALSE)</f>
        <v>0</v>
      </c>
      <c r="AG73" s="43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2797</v>
      </c>
      <c r="B74" s="45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43" t="b" cm="1">
        <f t="array" ref="AE74">IFERROR(_xlfn.BYROW(TRACK_TYPES[[#This Row],[TRACK_TYPE_STANDARD_GAUGE_RAILTYPE_OHLE]:[TRACK_TYPE_STANDARD_GAUGE_RAILTYPE_NONE]],_xlfn.LAMBDA(_xlpm.r,OR(_xlpm.r))),FALSE)</f>
        <v>1</v>
      </c>
      <c r="AF74" s="43" t="b" cm="1">
        <f t="array" ref="AF74">IFERROR(_xlfn.BYROW(TRACK_TYPES[[#This Row],[TRACK_TYPE_NARROW_GAUGE_RAILTYPE_OHLE]:[TRACK_TYPE_NARROW_GAUGE_RAILTYPE_NONE]],_xlfn.LAMBDA(_xlpm.r,OR(_xlpm.r))),FALSE)</f>
        <v>0</v>
      </c>
      <c r="AG74" s="43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2798</v>
      </c>
      <c r="B75" s="45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43" t="b" cm="1">
        <f t="array" ref="AE75">IFERROR(_xlfn.BYROW(TRACK_TYPES[[#This Row],[TRACK_TYPE_STANDARD_GAUGE_RAILTYPE_OHLE]:[TRACK_TYPE_STANDARD_GAUGE_RAILTYPE_NONE]],_xlfn.LAMBDA(_xlpm.r,OR(_xlpm.r))),FALSE)</f>
        <v>1</v>
      </c>
      <c r="AF75" s="43" t="b" cm="1">
        <f t="array" ref="AF75">IFERROR(_xlfn.BYROW(TRACK_TYPES[[#This Row],[TRACK_TYPE_NARROW_GAUGE_RAILTYPE_OHLE]:[TRACK_TYPE_NARROW_GAUGE_RAILTYPE_NONE]],_xlfn.LAMBDA(_xlpm.r,OR(_xlpm.r))),FALSE)</f>
        <v>0</v>
      </c>
      <c r="AG75" s="43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2799</v>
      </c>
      <c r="B76" s="45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43" t="b" cm="1">
        <f t="array" ref="AE76">IFERROR(_xlfn.BYROW(TRACK_TYPES[[#This Row],[TRACK_TYPE_STANDARD_GAUGE_RAILTYPE_OHLE]:[TRACK_TYPE_STANDARD_GAUGE_RAILTYPE_NONE]],_xlfn.LAMBDA(_xlpm.r,OR(_xlpm.r))),FALSE)</f>
        <v>1</v>
      </c>
      <c r="AF76" s="43" t="b" cm="1">
        <f t="array" ref="AF76">IFERROR(_xlfn.BYROW(TRACK_TYPES[[#This Row],[TRACK_TYPE_NARROW_GAUGE_RAILTYPE_OHLE]:[TRACK_TYPE_NARROW_GAUGE_RAILTYPE_NONE]],_xlfn.LAMBDA(_xlpm.r,OR(_xlpm.r))),FALSE)</f>
        <v>0</v>
      </c>
      <c r="AG76" s="43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2800</v>
      </c>
      <c r="B77" s="45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43" t="b" cm="1">
        <f t="array" ref="AE77">IFERROR(_xlfn.BYROW(TRACK_TYPES[[#This Row],[TRACK_TYPE_STANDARD_GAUGE_RAILTYPE_OHLE]:[TRACK_TYPE_STANDARD_GAUGE_RAILTYPE_NONE]],_xlfn.LAMBDA(_xlpm.r,OR(_xlpm.r))),FALSE)</f>
        <v>0</v>
      </c>
      <c r="AF77" s="43" t="b" cm="1">
        <f t="array" ref="AF77">IFERROR(_xlfn.BYROW(TRACK_TYPES[[#This Row],[TRACK_TYPE_NARROW_GAUGE_RAILTYPE_OHLE]:[TRACK_TYPE_NARROW_GAUGE_RAILTYPE_NONE]],_xlfn.LAMBDA(_xlpm.r,OR(_xlpm.r))),FALSE)</f>
        <v>1</v>
      </c>
      <c r="AG77" s="43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3532</v>
      </c>
      <c r="B78" s="45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43" t="b" cm="1">
        <f t="array" ref="AE78">IFERROR(_xlfn.BYROW(TRACK_TYPES[[#This Row],[TRACK_TYPE_STANDARD_GAUGE_RAILTYPE_OHLE]:[TRACK_TYPE_STANDARD_GAUGE_RAILTYPE_NONE]],_xlfn.LAMBDA(_xlpm.r,OR(_xlpm.r))),FALSE)</f>
        <v>1</v>
      </c>
      <c r="AF78" s="43" t="b" cm="1">
        <f t="array" ref="AF78">IFERROR(_xlfn.BYROW(TRACK_TYPES[[#This Row],[TRACK_TYPE_NARROW_GAUGE_RAILTYPE_OHLE]:[TRACK_TYPE_NARROW_GAUGE_RAILTYPE_NONE]],_xlfn.LAMBDA(_xlpm.r,OR(_xlpm.r))),FALSE)</f>
        <v>0</v>
      </c>
      <c r="AG78" s="43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2801</v>
      </c>
      <c r="B79" s="45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43" t="b" cm="1">
        <f t="array" ref="AE79">IFERROR(_xlfn.BYROW(TRACK_TYPES[[#This Row],[TRACK_TYPE_STANDARD_GAUGE_RAILTYPE_OHLE]:[TRACK_TYPE_STANDARD_GAUGE_RAILTYPE_NONE]],_xlfn.LAMBDA(_xlpm.r,OR(_xlpm.r))),FALSE)</f>
        <v>1</v>
      </c>
      <c r="AF79" s="43" t="b" cm="1">
        <f t="array" ref="AF79">IFERROR(_xlfn.BYROW(TRACK_TYPES[[#This Row],[TRACK_TYPE_NARROW_GAUGE_RAILTYPE_OHLE]:[TRACK_TYPE_NARROW_GAUGE_RAILTYPE_NONE]],_xlfn.LAMBDA(_xlpm.r,OR(_xlpm.r))),FALSE)</f>
        <v>0</v>
      </c>
      <c r="AG79" s="43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2802</v>
      </c>
      <c r="B80" s="45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43" t="b" cm="1">
        <f t="array" ref="AE80">IFERROR(_xlfn.BYROW(TRACK_TYPES[[#This Row],[TRACK_TYPE_STANDARD_GAUGE_RAILTYPE_OHLE]:[TRACK_TYPE_STANDARD_GAUGE_RAILTYPE_NONE]],_xlfn.LAMBDA(_xlpm.r,OR(_xlpm.r))),FALSE)</f>
        <v>1</v>
      </c>
      <c r="AF80" s="43" t="b" cm="1">
        <f t="array" ref="AF80">IFERROR(_xlfn.BYROW(TRACK_TYPES[[#This Row],[TRACK_TYPE_NARROW_GAUGE_RAILTYPE_OHLE]:[TRACK_TYPE_NARROW_GAUGE_RAILTYPE_NONE]],_xlfn.LAMBDA(_xlpm.r,OR(_xlpm.r))),FALSE)</f>
        <v>0</v>
      </c>
      <c r="AG80" s="43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2803</v>
      </c>
      <c r="B81" s="45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43" t="b" cm="1">
        <f t="array" ref="AE81">IFERROR(_xlfn.BYROW(TRACK_TYPES[[#This Row],[TRACK_TYPE_STANDARD_GAUGE_RAILTYPE_OHLE]:[TRACK_TYPE_STANDARD_GAUGE_RAILTYPE_NONE]],_xlfn.LAMBDA(_xlpm.r,OR(_xlpm.r))),FALSE)</f>
        <v>1</v>
      </c>
      <c r="AF81" s="43" t="b" cm="1">
        <f t="array" ref="AF81">IFERROR(_xlfn.BYROW(TRACK_TYPES[[#This Row],[TRACK_TYPE_NARROW_GAUGE_RAILTYPE_OHLE]:[TRACK_TYPE_NARROW_GAUGE_RAILTYPE_NONE]],_xlfn.LAMBDA(_xlpm.r,OR(_xlpm.r))),FALSE)</f>
        <v>0</v>
      </c>
      <c r="AG81" s="43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3555</v>
      </c>
      <c r="B82" s="45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43" t="b" cm="1">
        <f t="array" ref="AE82">IFERROR(_xlfn.BYROW(TRACK_TYPES[[#This Row],[TRACK_TYPE_STANDARD_GAUGE_RAILTYPE_OHLE]:[TRACK_TYPE_STANDARD_GAUGE_RAILTYPE_NONE]],_xlfn.LAMBDA(_xlpm.r,OR(_xlpm.r))),FALSE)</f>
        <v>1</v>
      </c>
      <c r="AF82" s="43" t="b" cm="1">
        <f t="array" ref="AF82">IFERROR(_xlfn.BYROW(TRACK_TYPES[[#This Row],[TRACK_TYPE_NARROW_GAUGE_RAILTYPE_OHLE]:[TRACK_TYPE_NARROW_GAUGE_RAILTYPE_NONE]],_xlfn.LAMBDA(_xlpm.r,OR(_xlpm.r))),FALSE)</f>
        <v>0</v>
      </c>
      <c r="AG82" s="43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2804</v>
      </c>
      <c r="B83" s="45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43" t="b" cm="1">
        <f t="array" ref="AE83">IFERROR(_xlfn.BYROW(TRACK_TYPES[[#This Row],[TRACK_TYPE_STANDARD_GAUGE_RAILTYPE_OHLE]:[TRACK_TYPE_STANDARD_GAUGE_RAILTYPE_NONE]],_xlfn.LAMBDA(_xlpm.r,OR(_xlpm.r))),FALSE)</f>
        <v>1</v>
      </c>
      <c r="AF83" s="43" t="b" cm="1">
        <f t="array" ref="AF83">IFERROR(_xlfn.BYROW(TRACK_TYPES[[#This Row],[TRACK_TYPE_NARROW_GAUGE_RAILTYPE_OHLE]:[TRACK_TYPE_NARROW_GAUGE_RAILTYPE_NONE]],_xlfn.LAMBDA(_xlpm.r,OR(_xlpm.r))),FALSE)</f>
        <v>0</v>
      </c>
      <c r="AG83" s="43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2805</v>
      </c>
      <c r="B84" s="45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43" t="b" cm="1">
        <f t="array" ref="AE84">IFERROR(_xlfn.BYROW(TRACK_TYPES[[#This Row],[TRACK_TYPE_STANDARD_GAUGE_RAILTYPE_OHLE]:[TRACK_TYPE_STANDARD_GAUGE_RAILTYPE_NONE]],_xlfn.LAMBDA(_xlpm.r,OR(_xlpm.r))),FALSE)</f>
        <v>1</v>
      </c>
      <c r="AF84" s="43" t="b" cm="1">
        <f t="array" ref="AF84">IFERROR(_xlfn.BYROW(TRACK_TYPES[[#This Row],[TRACK_TYPE_NARROW_GAUGE_RAILTYPE_OHLE]:[TRACK_TYPE_NARROW_GAUGE_RAILTYPE_NONE]],_xlfn.LAMBDA(_xlpm.r,OR(_xlpm.r))),FALSE)</f>
        <v>0</v>
      </c>
      <c r="AG84" s="43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2806</v>
      </c>
      <c r="B85" s="45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43" t="b" cm="1">
        <f t="array" ref="AE85">IFERROR(_xlfn.BYROW(TRACK_TYPES[[#This Row],[TRACK_TYPE_STANDARD_GAUGE_RAILTYPE_OHLE]:[TRACK_TYPE_STANDARD_GAUGE_RAILTYPE_NONE]],_xlfn.LAMBDA(_xlpm.r,OR(_xlpm.r))),FALSE)</f>
        <v>1</v>
      </c>
      <c r="AF85" s="43" t="b" cm="1">
        <f t="array" ref="AF85">IFERROR(_xlfn.BYROW(TRACK_TYPES[[#This Row],[TRACK_TYPE_NARROW_GAUGE_RAILTYPE_OHLE]:[TRACK_TYPE_NARROW_GAUGE_RAILTYPE_NONE]],_xlfn.LAMBDA(_xlpm.r,OR(_xlpm.r))),FALSE)</f>
        <v>0</v>
      </c>
      <c r="AG85" s="43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2807</v>
      </c>
      <c r="B86" s="45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43" t="b" cm="1">
        <f t="array" ref="AE86">IFERROR(_xlfn.BYROW(TRACK_TYPES[[#This Row],[TRACK_TYPE_STANDARD_GAUGE_RAILTYPE_OHLE]:[TRACK_TYPE_STANDARD_GAUGE_RAILTYPE_NONE]],_xlfn.LAMBDA(_xlpm.r,OR(_xlpm.r))),FALSE)</f>
        <v>1</v>
      </c>
      <c r="AF86" s="43" t="b" cm="1">
        <f t="array" ref="AF86">IFERROR(_xlfn.BYROW(TRACK_TYPES[[#This Row],[TRACK_TYPE_NARROW_GAUGE_RAILTYPE_OHLE]:[TRACK_TYPE_NARROW_GAUGE_RAILTYPE_NONE]],_xlfn.LAMBDA(_xlpm.r,OR(_xlpm.r))),FALSE)</f>
        <v>0</v>
      </c>
      <c r="AG86" s="43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2808</v>
      </c>
      <c r="B87" s="45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43" t="b" cm="1">
        <f t="array" ref="AE87">IFERROR(_xlfn.BYROW(TRACK_TYPES[[#This Row],[TRACK_TYPE_STANDARD_GAUGE_RAILTYPE_OHLE]:[TRACK_TYPE_STANDARD_GAUGE_RAILTYPE_NONE]],_xlfn.LAMBDA(_xlpm.r,OR(_xlpm.r))),FALSE)</f>
        <v>1</v>
      </c>
      <c r="AF87" s="43" t="b" cm="1">
        <f t="array" ref="AF87">IFERROR(_xlfn.BYROW(TRACK_TYPES[[#This Row],[TRACK_TYPE_NARROW_GAUGE_RAILTYPE_OHLE]:[TRACK_TYPE_NARROW_GAUGE_RAILTYPE_NONE]],_xlfn.LAMBDA(_xlpm.r,OR(_xlpm.r))),FALSE)</f>
        <v>0</v>
      </c>
      <c r="AG87" s="43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2809</v>
      </c>
      <c r="B88" s="45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43" t="b" cm="1">
        <f t="array" ref="AE88">IFERROR(_xlfn.BYROW(TRACK_TYPES[[#This Row],[TRACK_TYPE_STANDARD_GAUGE_RAILTYPE_OHLE]:[TRACK_TYPE_STANDARD_GAUGE_RAILTYPE_NONE]],_xlfn.LAMBDA(_xlpm.r,OR(_xlpm.r))),FALSE)</f>
        <v>1</v>
      </c>
      <c r="AF88" s="43" t="b" cm="1">
        <f t="array" ref="AF88">IFERROR(_xlfn.BYROW(TRACK_TYPES[[#This Row],[TRACK_TYPE_NARROW_GAUGE_RAILTYPE_OHLE]:[TRACK_TYPE_NARROW_GAUGE_RAILTYPE_NONE]],_xlfn.LAMBDA(_xlpm.r,OR(_xlpm.r))),FALSE)</f>
        <v>0</v>
      </c>
      <c r="AG88" s="43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2810</v>
      </c>
      <c r="B89" s="45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43" t="b" cm="1">
        <f t="array" ref="AE89">IFERROR(_xlfn.BYROW(TRACK_TYPES[[#This Row],[TRACK_TYPE_STANDARD_GAUGE_RAILTYPE_OHLE]:[TRACK_TYPE_STANDARD_GAUGE_RAILTYPE_NONE]],_xlfn.LAMBDA(_xlpm.r,OR(_xlpm.r))),FALSE)</f>
        <v>0</v>
      </c>
      <c r="AF89" s="43" t="b" cm="1">
        <f t="array" ref="AF89">IFERROR(_xlfn.BYROW(TRACK_TYPES[[#This Row],[TRACK_TYPE_NARROW_GAUGE_RAILTYPE_OHLE]:[TRACK_TYPE_NARROW_GAUGE_RAILTYPE_NONE]],_xlfn.LAMBDA(_xlpm.r,OR(_xlpm.r))),FALSE)</f>
        <v>0</v>
      </c>
      <c r="AG89" s="43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2811</v>
      </c>
      <c r="B90" s="45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43" t="b" cm="1">
        <f t="array" ref="AE90">IFERROR(_xlfn.BYROW(TRACK_TYPES[[#This Row],[TRACK_TYPE_STANDARD_GAUGE_RAILTYPE_OHLE]:[TRACK_TYPE_STANDARD_GAUGE_RAILTYPE_NONE]],_xlfn.LAMBDA(_xlpm.r,OR(_xlpm.r))),FALSE)</f>
        <v>1</v>
      </c>
      <c r="AF90" s="43" t="b" cm="1">
        <f t="array" ref="AF90">IFERROR(_xlfn.BYROW(TRACK_TYPES[[#This Row],[TRACK_TYPE_NARROW_GAUGE_RAILTYPE_OHLE]:[TRACK_TYPE_NARROW_GAUGE_RAILTYPE_NONE]],_xlfn.LAMBDA(_xlpm.r,OR(_xlpm.r))),FALSE)</f>
        <v>0</v>
      </c>
      <c r="AG90" s="43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2812</v>
      </c>
      <c r="B91" s="45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43" t="b" cm="1">
        <f t="array" ref="AE91">IFERROR(_xlfn.BYROW(TRACK_TYPES[[#This Row],[TRACK_TYPE_STANDARD_GAUGE_RAILTYPE_OHLE]:[TRACK_TYPE_STANDARD_GAUGE_RAILTYPE_NONE]],_xlfn.LAMBDA(_xlpm.r,OR(_xlpm.r))),FALSE)</f>
        <v>1</v>
      </c>
      <c r="AF91" s="43" t="b" cm="1">
        <f t="array" ref="AF91">IFERROR(_xlfn.BYROW(TRACK_TYPES[[#This Row],[TRACK_TYPE_NARROW_GAUGE_RAILTYPE_OHLE]:[TRACK_TYPE_NARROW_GAUGE_RAILTYPE_NONE]],_xlfn.LAMBDA(_xlpm.r,OR(_xlpm.r))),FALSE)</f>
        <v>0</v>
      </c>
      <c r="AG91" s="43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2813</v>
      </c>
      <c r="B92" s="45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43" t="b" cm="1">
        <f t="array" ref="AE92">IFERROR(_xlfn.BYROW(TRACK_TYPES[[#This Row],[TRACK_TYPE_STANDARD_GAUGE_RAILTYPE_OHLE]:[TRACK_TYPE_STANDARD_GAUGE_RAILTYPE_NONE]],_xlfn.LAMBDA(_xlpm.r,OR(_xlpm.r))),FALSE)</f>
        <v>1</v>
      </c>
      <c r="AF92" s="43" t="b" cm="1">
        <f t="array" ref="AF92">IFERROR(_xlfn.BYROW(TRACK_TYPES[[#This Row],[TRACK_TYPE_NARROW_GAUGE_RAILTYPE_OHLE]:[TRACK_TYPE_NARROW_GAUGE_RAILTYPE_NONE]],_xlfn.LAMBDA(_xlpm.r,OR(_xlpm.r))),FALSE)</f>
        <v>0</v>
      </c>
      <c r="AG92" s="43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2814</v>
      </c>
      <c r="B93" s="45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43" t="b" cm="1">
        <f t="array" ref="AE93">IFERROR(_xlfn.BYROW(TRACK_TYPES[[#This Row],[TRACK_TYPE_STANDARD_GAUGE_RAILTYPE_OHLE]:[TRACK_TYPE_STANDARD_GAUGE_RAILTYPE_NONE]],_xlfn.LAMBDA(_xlpm.r,OR(_xlpm.r))),FALSE)</f>
        <v>1</v>
      </c>
      <c r="AF93" s="43" t="b" cm="1">
        <f t="array" ref="AF93">IFERROR(_xlfn.BYROW(TRACK_TYPES[[#This Row],[TRACK_TYPE_NARROW_GAUGE_RAILTYPE_OHLE]:[TRACK_TYPE_NARROW_GAUGE_RAILTYPE_NONE]],_xlfn.LAMBDA(_xlpm.r,OR(_xlpm.r))),FALSE)</f>
        <v>0</v>
      </c>
      <c r="AG93" s="43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2815</v>
      </c>
      <c r="B94" s="45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43" t="b" cm="1">
        <f t="array" ref="AE94">IFERROR(_xlfn.BYROW(TRACK_TYPES[[#This Row],[TRACK_TYPE_STANDARD_GAUGE_RAILTYPE_OHLE]:[TRACK_TYPE_STANDARD_GAUGE_RAILTYPE_NONE]],_xlfn.LAMBDA(_xlpm.r,OR(_xlpm.r))),FALSE)</f>
        <v>1</v>
      </c>
      <c r="AF94" s="43" t="b" cm="1">
        <f t="array" ref="AF94">IFERROR(_xlfn.BYROW(TRACK_TYPES[[#This Row],[TRACK_TYPE_NARROW_GAUGE_RAILTYPE_OHLE]:[TRACK_TYPE_NARROW_GAUGE_RAILTYPE_NONE]],_xlfn.LAMBDA(_xlpm.r,OR(_xlpm.r))),FALSE)</f>
        <v>0</v>
      </c>
      <c r="AG94" s="43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2816</v>
      </c>
      <c r="B95" s="45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43" t="b" cm="1">
        <f t="array" ref="AE95">IFERROR(_xlfn.BYROW(TRACK_TYPES[[#This Row],[TRACK_TYPE_STANDARD_GAUGE_RAILTYPE_OHLE]:[TRACK_TYPE_STANDARD_GAUGE_RAILTYPE_NONE]],_xlfn.LAMBDA(_xlpm.r,OR(_xlpm.r))),FALSE)</f>
        <v>0</v>
      </c>
      <c r="AF95" s="43" t="b" cm="1">
        <f t="array" ref="AF95">IFERROR(_xlfn.BYROW(TRACK_TYPES[[#This Row],[TRACK_TYPE_NARROW_GAUGE_RAILTYPE_OHLE]:[TRACK_TYPE_NARROW_GAUGE_RAILTYPE_NONE]],_xlfn.LAMBDA(_xlpm.r,OR(_xlpm.r))),FALSE)</f>
        <v>1</v>
      </c>
      <c r="AG95" s="43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2817</v>
      </c>
      <c r="B96" s="45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43" t="b" cm="1">
        <f t="array" ref="AE96">IFERROR(_xlfn.BYROW(TRACK_TYPES[[#This Row],[TRACK_TYPE_STANDARD_GAUGE_RAILTYPE_OHLE]:[TRACK_TYPE_STANDARD_GAUGE_RAILTYPE_NONE]],_xlfn.LAMBDA(_xlpm.r,OR(_xlpm.r))),FALSE)</f>
        <v>0</v>
      </c>
      <c r="AF96" s="43" t="b" cm="1">
        <f t="array" ref="AF96">IFERROR(_xlfn.BYROW(TRACK_TYPES[[#This Row],[TRACK_TYPE_NARROW_GAUGE_RAILTYPE_OHLE]:[TRACK_TYPE_NARROW_GAUGE_RAILTYPE_NONE]],_xlfn.LAMBDA(_xlpm.r,OR(_xlpm.r))),FALSE)</f>
        <v>0</v>
      </c>
      <c r="AG96" s="43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2818</v>
      </c>
      <c r="B97" s="45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43" t="b" cm="1">
        <f t="array" ref="AE97">IFERROR(_xlfn.BYROW(TRACK_TYPES[[#This Row],[TRACK_TYPE_STANDARD_GAUGE_RAILTYPE_OHLE]:[TRACK_TYPE_STANDARD_GAUGE_RAILTYPE_NONE]],_xlfn.LAMBDA(_xlpm.r,OR(_xlpm.r))),FALSE)</f>
        <v>1</v>
      </c>
      <c r="AF97" s="43" t="b" cm="1">
        <f t="array" ref="AF97">IFERROR(_xlfn.BYROW(TRACK_TYPES[[#This Row],[TRACK_TYPE_NARROW_GAUGE_RAILTYPE_OHLE]:[TRACK_TYPE_NARROW_GAUGE_RAILTYPE_NONE]],_xlfn.LAMBDA(_xlpm.r,OR(_xlpm.r))),FALSE)</f>
        <v>0</v>
      </c>
      <c r="AG97" s="43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2819</v>
      </c>
      <c r="B98" s="45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43" t="b" cm="1">
        <f t="array" ref="AE98">IFERROR(_xlfn.BYROW(TRACK_TYPES[[#This Row],[TRACK_TYPE_STANDARD_GAUGE_RAILTYPE_OHLE]:[TRACK_TYPE_STANDARD_GAUGE_RAILTYPE_NONE]],_xlfn.LAMBDA(_xlpm.r,OR(_xlpm.r))),FALSE)</f>
        <v>1</v>
      </c>
      <c r="AF98" s="43" t="b" cm="1">
        <f t="array" ref="AF98">IFERROR(_xlfn.BYROW(TRACK_TYPES[[#This Row],[TRACK_TYPE_NARROW_GAUGE_RAILTYPE_OHLE]:[TRACK_TYPE_NARROW_GAUGE_RAILTYPE_NONE]],_xlfn.LAMBDA(_xlpm.r,OR(_xlpm.r))),FALSE)</f>
        <v>0</v>
      </c>
      <c r="AG98" s="43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2820</v>
      </c>
      <c r="B99" s="45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43" t="b" cm="1">
        <f t="array" ref="AE99">IFERROR(_xlfn.BYROW(TRACK_TYPES[[#This Row],[TRACK_TYPE_STANDARD_GAUGE_RAILTYPE_OHLE]:[TRACK_TYPE_STANDARD_GAUGE_RAILTYPE_NONE]],_xlfn.LAMBDA(_xlpm.r,OR(_xlpm.r))),FALSE)</f>
        <v>1</v>
      </c>
      <c r="AF99" s="43" t="b" cm="1">
        <f t="array" ref="AF99">IFERROR(_xlfn.BYROW(TRACK_TYPES[[#This Row],[TRACK_TYPE_NARROW_GAUGE_RAILTYPE_OHLE]:[TRACK_TYPE_NARROW_GAUGE_RAILTYPE_NONE]],_xlfn.LAMBDA(_xlpm.r,OR(_xlpm.r))),FALSE)</f>
        <v>0</v>
      </c>
      <c r="AG99" s="43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2821</v>
      </c>
      <c r="B100" s="45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43" t="b" cm="1">
        <f t="array" ref="AE100">IFERROR(_xlfn.BYROW(TRACK_TYPES[[#This Row],[TRACK_TYPE_STANDARD_GAUGE_RAILTYPE_OHLE]:[TRACK_TYPE_STANDARD_GAUGE_RAILTYPE_NONE]],_xlfn.LAMBDA(_xlpm.r,OR(_xlpm.r))),FALSE)</f>
        <v>1</v>
      </c>
      <c r="AF100" s="43" t="b" cm="1">
        <f t="array" ref="AF100">IFERROR(_xlfn.BYROW(TRACK_TYPES[[#This Row],[TRACK_TYPE_NARROW_GAUGE_RAILTYPE_OHLE]:[TRACK_TYPE_NARROW_GAUGE_RAILTYPE_NONE]],_xlfn.LAMBDA(_xlpm.r,OR(_xlpm.r))),FALSE)</f>
        <v>0</v>
      </c>
      <c r="AG100" s="43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2822</v>
      </c>
      <c r="B101" s="45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43" t="b" cm="1">
        <f t="array" ref="AE101">IFERROR(_xlfn.BYROW(TRACK_TYPES[[#This Row],[TRACK_TYPE_STANDARD_GAUGE_RAILTYPE_OHLE]:[TRACK_TYPE_STANDARD_GAUGE_RAILTYPE_NONE]],_xlfn.LAMBDA(_xlpm.r,OR(_xlpm.r))),FALSE)</f>
        <v>1</v>
      </c>
      <c r="AF101" s="43" t="b" cm="1">
        <f t="array" ref="AF101">IFERROR(_xlfn.BYROW(TRACK_TYPES[[#This Row],[TRACK_TYPE_NARROW_GAUGE_RAILTYPE_OHLE]:[TRACK_TYPE_NARROW_GAUGE_RAILTYPE_NONE]],_xlfn.LAMBDA(_xlpm.r,OR(_xlpm.r))),FALSE)</f>
        <v>0</v>
      </c>
      <c r="AG101" s="43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2823</v>
      </c>
      <c r="B102" s="45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43" t="b" cm="1">
        <f t="array" ref="AE102">IFERROR(_xlfn.BYROW(TRACK_TYPES[[#This Row],[TRACK_TYPE_STANDARD_GAUGE_RAILTYPE_OHLE]:[TRACK_TYPE_STANDARD_GAUGE_RAILTYPE_NONE]],_xlfn.LAMBDA(_xlpm.r,OR(_xlpm.r))),FALSE)</f>
        <v>1</v>
      </c>
      <c r="AF102" s="43" t="b" cm="1">
        <f t="array" ref="AF102">IFERROR(_xlfn.BYROW(TRACK_TYPES[[#This Row],[TRACK_TYPE_NARROW_GAUGE_RAILTYPE_OHLE]:[TRACK_TYPE_NARROW_GAUGE_RAILTYPE_NONE]],_xlfn.LAMBDA(_xlpm.r,OR(_xlpm.r))),FALSE)</f>
        <v>0</v>
      </c>
      <c r="AG102" s="43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2824</v>
      </c>
      <c r="B103" s="45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43" t="b" cm="1">
        <f t="array" ref="AE103">IFERROR(_xlfn.BYROW(TRACK_TYPES[[#This Row],[TRACK_TYPE_STANDARD_GAUGE_RAILTYPE_OHLE]:[TRACK_TYPE_STANDARD_GAUGE_RAILTYPE_NONE]],_xlfn.LAMBDA(_xlpm.r,OR(_xlpm.r))),FALSE)</f>
        <v>0</v>
      </c>
      <c r="AF103" s="43" t="b" cm="1">
        <f t="array" ref="AF103">IFERROR(_xlfn.BYROW(TRACK_TYPES[[#This Row],[TRACK_TYPE_NARROW_GAUGE_RAILTYPE_OHLE]:[TRACK_TYPE_NARROW_GAUGE_RAILTYPE_NONE]],_xlfn.LAMBDA(_xlpm.r,OR(_xlpm.r))),FALSE)</f>
        <v>0</v>
      </c>
      <c r="AG103" s="43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2825</v>
      </c>
      <c r="B104" s="45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43" t="b" cm="1">
        <f t="array" ref="AE104">IFERROR(_xlfn.BYROW(TRACK_TYPES[[#This Row],[TRACK_TYPE_STANDARD_GAUGE_RAILTYPE_OHLE]:[TRACK_TYPE_STANDARD_GAUGE_RAILTYPE_NONE]],_xlfn.LAMBDA(_xlpm.r,OR(_xlpm.r))),FALSE)</f>
        <v>1</v>
      </c>
      <c r="AF104" s="43" t="b" cm="1">
        <f t="array" ref="AF104">IFERROR(_xlfn.BYROW(TRACK_TYPES[[#This Row],[TRACK_TYPE_NARROW_GAUGE_RAILTYPE_OHLE]:[TRACK_TYPE_NARROW_GAUGE_RAILTYPE_NONE]],_xlfn.LAMBDA(_xlpm.r,OR(_xlpm.r))),FALSE)</f>
        <v>0</v>
      </c>
      <c r="AG104" s="43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2826</v>
      </c>
      <c r="B105" s="45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43" t="b" cm="1">
        <f t="array" ref="AE105">IFERROR(_xlfn.BYROW(TRACK_TYPES[[#This Row],[TRACK_TYPE_STANDARD_GAUGE_RAILTYPE_OHLE]:[TRACK_TYPE_STANDARD_GAUGE_RAILTYPE_NONE]],_xlfn.LAMBDA(_xlpm.r,OR(_xlpm.r))),FALSE)</f>
        <v>1</v>
      </c>
      <c r="AF105" s="43" t="b" cm="1">
        <f t="array" ref="AF105">IFERROR(_xlfn.BYROW(TRACK_TYPES[[#This Row],[TRACK_TYPE_NARROW_GAUGE_RAILTYPE_OHLE]:[TRACK_TYPE_NARROW_GAUGE_RAILTYPE_NONE]],_xlfn.LAMBDA(_xlpm.r,OR(_xlpm.r))),FALSE)</f>
        <v>0</v>
      </c>
      <c r="AG105" s="43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2827</v>
      </c>
      <c r="B106" s="45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43" t="b" cm="1">
        <f t="array" ref="AE106">IFERROR(_xlfn.BYROW(TRACK_TYPES[[#This Row],[TRACK_TYPE_STANDARD_GAUGE_RAILTYPE_OHLE]:[TRACK_TYPE_STANDARD_GAUGE_RAILTYPE_NONE]],_xlfn.LAMBDA(_xlpm.r,OR(_xlpm.r))),FALSE)</f>
        <v>1</v>
      </c>
      <c r="AF106" s="43" t="b" cm="1">
        <f t="array" ref="AF106">IFERROR(_xlfn.BYROW(TRACK_TYPES[[#This Row],[TRACK_TYPE_NARROW_GAUGE_RAILTYPE_OHLE]:[TRACK_TYPE_NARROW_GAUGE_RAILTYPE_NONE]],_xlfn.LAMBDA(_xlpm.r,OR(_xlpm.r))),FALSE)</f>
        <v>0</v>
      </c>
      <c r="AG106" s="43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2828</v>
      </c>
      <c r="B107" s="45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43" t="b" cm="1">
        <f t="array" ref="AE107">IFERROR(_xlfn.BYROW(TRACK_TYPES[[#This Row],[TRACK_TYPE_STANDARD_GAUGE_RAILTYPE_OHLE]:[TRACK_TYPE_STANDARD_GAUGE_RAILTYPE_NONE]],_xlfn.LAMBDA(_xlpm.r,OR(_xlpm.r))),FALSE)</f>
        <v>0</v>
      </c>
      <c r="AF107" s="43" t="b" cm="1">
        <f t="array" ref="AF107">IFERROR(_xlfn.BYROW(TRACK_TYPES[[#This Row],[TRACK_TYPE_NARROW_GAUGE_RAILTYPE_OHLE]:[TRACK_TYPE_NARROW_GAUGE_RAILTYPE_NONE]],_xlfn.LAMBDA(_xlpm.r,OR(_xlpm.r))),FALSE)</f>
        <v>1</v>
      </c>
      <c r="AG107" s="43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2829</v>
      </c>
      <c r="B108" s="45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43" t="b" cm="1">
        <f t="array" ref="AE108">IFERROR(_xlfn.BYROW(TRACK_TYPES[[#This Row],[TRACK_TYPE_STANDARD_GAUGE_RAILTYPE_OHLE]:[TRACK_TYPE_STANDARD_GAUGE_RAILTYPE_NONE]],_xlfn.LAMBDA(_xlpm.r,OR(_xlpm.r))),FALSE)</f>
        <v>1</v>
      </c>
      <c r="AF108" s="43" t="b" cm="1">
        <f t="array" ref="AF108">IFERROR(_xlfn.BYROW(TRACK_TYPES[[#This Row],[TRACK_TYPE_NARROW_GAUGE_RAILTYPE_OHLE]:[TRACK_TYPE_NARROW_GAUGE_RAILTYPE_NONE]],_xlfn.LAMBDA(_xlpm.r,OR(_xlpm.r))),FALSE)</f>
        <v>0</v>
      </c>
      <c r="AG108" s="43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2830</v>
      </c>
      <c r="B109" s="45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43" t="b" cm="1">
        <f t="array" ref="AE109">IFERROR(_xlfn.BYROW(TRACK_TYPES[[#This Row],[TRACK_TYPE_STANDARD_GAUGE_RAILTYPE_OHLE]:[TRACK_TYPE_STANDARD_GAUGE_RAILTYPE_NONE]],_xlfn.LAMBDA(_xlpm.r,OR(_xlpm.r))),FALSE)</f>
        <v>1</v>
      </c>
      <c r="AF109" s="43" t="b" cm="1">
        <f t="array" ref="AF109">IFERROR(_xlfn.BYROW(TRACK_TYPES[[#This Row],[TRACK_TYPE_NARROW_GAUGE_RAILTYPE_OHLE]:[TRACK_TYPE_NARROW_GAUGE_RAILTYPE_NONE]],_xlfn.LAMBDA(_xlpm.r,OR(_xlpm.r))),FALSE)</f>
        <v>0</v>
      </c>
      <c r="AG109" s="43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2831</v>
      </c>
      <c r="B110" s="45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43" t="b" cm="1">
        <f t="array" ref="AE110">IFERROR(_xlfn.BYROW(TRACK_TYPES[[#This Row],[TRACK_TYPE_STANDARD_GAUGE_RAILTYPE_OHLE]:[TRACK_TYPE_STANDARD_GAUGE_RAILTYPE_NONE]],_xlfn.LAMBDA(_xlpm.r,OR(_xlpm.r))),FALSE)</f>
        <v>0</v>
      </c>
      <c r="AF110" s="43" t="b" cm="1">
        <f t="array" ref="AF110">IFERROR(_xlfn.BYROW(TRACK_TYPES[[#This Row],[TRACK_TYPE_NARROW_GAUGE_RAILTYPE_OHLE]:[TRACK_TYPE_NARROW_GAUGE_RAILTYPE_NONE]],_xlfn.LAMBDA(_xlpm.r,OR(_xlpm.r))),FALSE)</f>
        <v>1</v>
      </c>
      <c r="AG110" s="43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2832</v>
      </c>
      <c r="B111" s="45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43" t="b" cm="1">
        <f t="array" ref="AE111">IFERROR(_xlfn.BYROW(TRACK_TYPES[[#This Row],[TRACK_TYPE_STANDARD_GAUGE_RAILTYPE_OHLE]:[TRACK_TYPE_STANDARD_GAUGE_RAILTYPE_NONE]],_xlfn.LAMBDA(_xlpm.r,OR(_xlpm.r))),FALSE)</f>
        <v>0</v>
      </c>
      <c r="AF111" s="43" t="b" cm="1">
        <f t="array" ref="AF111">IFERROR(_xlfn.BYROW(TRACK_TYPES[[#This Row],[TRACK_TYPE_NARROW_GAUGE_RAILTYPE_OHLE]:[TRACK_TYPE_NARROW_GAUGE_RAILTYPE_NONE]],_xlfn.LAMBDA(_xlpm.r,OR(_xlpm.r))),FALSE)</f>
        <v>0</v>
      </c>
      <c r="AG111" s="43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2833</v>
      </c>
      <c r="B112" s="45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43" t="b" cm="1">
        <f t="array" ref="AE112">IFERROR(_xlfn.BYROW(TRACK_TYPES[[#This Row],[TRACK_TYPE_STANDARD_GAUGE_RAILTYPE_OHLE]:[TRACK_TYPE_STANDARD_GAUGE_RAILTYPE_NONE]],_xlfn.LAMBDA(_xlpm.r,OR(_xlpm.r))),FALSE)</f>
        <v>0</v>
      </c>
      <c r="AF112" s="43" t="b" cm="1">
        <f t="array" ref="AF112">IFERROR(_xlfn.BYROW(TRACK_TYPES[[#This Row],[TRACK_TYPE_NARROW_GAUGE_RAILTYPE_OHLE]:[TRACK_TYPE_NARROW_GAUGE_RAILTYPE_NONE]],_xlfn.LAMBDA(_xlpm.r,OR(_xlpm.r))),FALSE)</f>
        <v>1</v>
      </c>
      <c r="AG112" s="43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2834</v>
      </c>
      <c r="B113" s="45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43" t="b" cm="1">
        <f t="array" ref="AE113">IFERROR(_xlfn.BYROW(TRACK_TYPES[[#This Row],[TRACK_TYPE_STANDARD_GAUGE_RAILTYPE_OHLE]:[TRACK_TYPE_STANDARD_GAUGE_RAILTYPE_NONE]],_xlfn.LAMBDA(_xlpm.r,OR(_xlpm.r))),FALSE)</f>
        <v>1</v>
      </c>
      <c r="AF113" s="43" t="b" cm="1">
        <f t="array" ref="AF113">IFERROR(_xlfn.BYROW(TRACK_TYPES[[#This Row],[TRACK_TYPE_NARROW_GAUGE_RAILTYPE_OHLE]:[TRACK_TYPE_NARROW_GAUGE_RAILTYPE_NONE]],_xlfn.LAMBDA(_xlpm.r,OR(_xlpm.r))),FALSE)</f>
        <v>0</v>
      </c>
      <c r="AG113" s="43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2835</v>
      </c>
      <c r="B114" s="45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43" t="b" cm="1">
        <f t="array" ref="AE114">IFERROR(_xlfn.BYROW(TRACK_TYPES[[#This Row],[TRACK_TYPE_STANDARD_GAUGE_RAILTYPE_OHLE]:[TRACK_TYPE_STANDARD_GAUGE_RAILTYPE_NONE]],_xlfn.LAMBDA(_xlpm.r,OR(_xlpm.r))),FALSE)</f>
        <v>1</v>
      </c>
      <c r="AF114" s="43" t="b" cm="1">
        <f t="array" ref="AF114">IFERROR(_xlfn.BYROW(TRACK_TYPES[[#This Row],[TRACK_TYPE_NARROW_GAUGE_RAILTYPE_OHLE]:[TRACK_TYPE_NARROW_GAUGE_RAILTYPE_NONE]],_xlfn.LAMBDA(_xlpm.r,OR(_xlpm.r))),FALSE)</f>
        <v>0</v>
      </c>
      <c r="AG114" s="43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2836</v>
      </c>
      <c r="B115" s="45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43" t="b" cm="1">
        <f t="array" ref="AE115">IFERROR(_xlfn.BYROW(TRACK_TYPES[[#This Row],[TRACK_TYPE_STANDARD_GAUGE_RAILTYPE_OHLE]:[TRACK_TYPE_STANDARD_GAUGE_RAILTYPE_NONE]],_xlfn.LAMBDA(_xlpm.r,OR(_xlpm.r))),FALSE)</f>
        <v>1</v>
      </c>
      <c r="AF115" s="43" t="b" cm="1">
        <f t="array" ref="AF115">IFERROR(_xlfn.BYROW(TRACK_TYPES[[#This Row],[TRACK_TYPE_NARROW_GAUGE_RAILTYPE_OHLE]:[TRACK_TYPE_NARROW_GAUGE_RAILTYPE_NONE]],_xlfn.LAMBDA(_xlpm.r,OR(_xlpm.r))),FALSE)</f>
        <v>0</v>
      </c>
      <c r="AG115" s="43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2837</v>
      </c>
      <c r="B116" s="45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43" t="b" cm="1">
        <f t="array" ref="AE116">IFERROR(_xlfn.BYROW(TRACK_TYPES[[#This Row],[TRACK_TYPE_STANDARD_GAUGE_RAILTYPE_OHLE]:[TRACK_TYPE_STANDARD_GAUGE_RAILTYPE_NONE]],_xlfn.LAMBDA(_xlpm.r,OR(_xlpm.r))),FALSE)</f>
        <v>1</v>
      </c>
      <c r="AF116" s="43" t="b" cm="1">
        <f t="array" ref="AF116">IFERROR(_xlfn.BYROW(TRACK_TYPES[[#This Row],[TRACK_TYPE_NARROW_GAUGE_RAILTYPE_OHLE]:[TRACK_TYPE_NARROW_GAUGE_RAILTYPE_NONE]],_xlfn.LAMBDA(_xlpm.r,OR(_xlpm.r))),FALSE)</f>
        <v>0</v>
      </c>
      <c r="AG116" s="43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2838</v>
      </c>
      <c r="B117" s="45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43" t="b" cm="1">
        <f t="array" ref="AE117">IFERROR(_xlfn.BYROW(TRACK_TYPES[[#This Row],[TRACK_TYPE_STANDARD_GAUGE_RAILTYPE_OHLE]:[TRACK_TYPE_STANDARD_GAUGE_RAILTYPE_NONE]],_xlfn.LAMBDA(_xlpm.r,OR(_xlpm.r))),FALSE)</f>
        <v>0</v>
      </c>
      <c r="AF117" s="43" t="b" cm="1">
        <f t="array" ref="AF117">IFERROR(_xlfn.BYROW(TRACK_TYPES[[#This Row],[TRACK_TYPE_NARROW_GAUGE_RAILTYPE_OHLE]:[TRACK_TYPE_NARROW_GAUGE_RAILTYPE_NONE]],_xlfn.LAMBDA(_xlpm.r,OR(_xlpm.r))),FALSE)</f>
        <v>1</v>
      </c>
      <c r="AG117" s="43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2839</v>
      </c>
      <c r="B118" s="45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43" t="b" cm="1">
        <f t="array" ref="AE118">IFERROR(_xlfn.BYROW(TRACK_TYPES[[#This Row],[TRACK_TYPE_STANDARD_GAUGE_RAILTYPE_OHLE]:[TRACK_TYPE_STANDARD_GAUGE_RAILTYPE_NONE]],_xlfn.LAMBDA(_xlpm.r,OR(_xlpm.r))),FALSE)</f>
        <v>0</v>
      </c>
      <c r="AF118" s="43" t="b" cm="1">
        <f t="array" ref="AF118">IFERROR(_xlfn.BYROW(TRACK_TYPES[[#This Row],[TRACK_TYPE_NARROW_GAUGE_RAILTYPE_OHLE]:[TRACK_TYPE_NARROW_GAUGE_RAILTYPE_NONE]],_xlfn.LAMBDA(_xlpm.r,OR(_xlpm.r))),FALSE)</f>
        <v>1</v>
      </c>
      <c r="AG118" s="43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2840</v>
      </c>
      <c r="B119" s="45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43" t="b" cm="1">
        <f t="array" ref="AE119">IFERROR(_xlfn.BYROW(TRACK_TYPES[[#This Row],[TRACK_TYPE_STANDARD_GAUGE_RAILTYPE_OHLE]:[TRACK_TYPE_STANDARD_GAUGE_RAILTYPE_NONE]],_xlfn.LAMBDA(_xlpm.r,OR(_xlpm.r))),FALSE)</f>
        <v>1</v>
      </c>
      <c r="AF119" s="43" t="b" cm="1">
        <f t="array" ref="AF119">IFERROR(_xlfn.BYROW(TRACK_TYPES[[#This Row],[TRACK_TYPE_NARROW_GAUGE_RAILTYPE_OHLE]:[TRACK_TYPE_NARROW_GAUGE_RAILTYPE_NONE]],_xlfn.LAMBDA(_xlpm.r,OR(_xlpm.r))),FALSE)</f>
        <v>0</v>
      </c>
      <c r="AG119" s="43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2841</v>
      </c>
      <c r="B120" s="45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43" t="b" cm="1">
        <f t="array" ref="AE120">IFERROR(_xlfn.BYROW(TRACK_TYPES[[#This Row],[TRACK_TYPE_STANDARD_GAUGE_RAILTYPE_OHLE]:[TRACK_TYPE_STANDARD_GAUGE_RAILTYPE_NONE]],_xlfn.LAMBDA(_xlpm.r,OR(_xlpm.r))),FALSE)</f>
        <v>1</v>
      </c>
      <c r="AF120" s="43" t="b" cm="1">
        <f t="array" ref="AF120">IFERROR(_xlfn.BYROW(TRACK_TYPES[[#This Row],[TRACK_TYPE_NARROW_GAUGE_RAILTYPE_OHLE]:[TRACK_TYPE_NARROW_GAUGE_RAILTYPE_NONE]],_xlfn.LAMBDA(_xlpm.r,OR(_xlpm.r))),FALSE)</f>
        <v>0</v>
      </c>
      <c r="AG120" s="43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2842</v>
      </c>
      <c r="B121" s="45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43" t="b" cm="1">
        <f t="array" ref="AE121">IFERROR(_xlfn.BYROW(TRACK_TYPES[[#This Row],[TRACK_TYPE_STANDARD_GAUGE_RAILTYPE_OHLE]:[TRACK_TYPE_STANDARD_GAUGE_RAILTYPE_NONE]],_xlfn.LAMBDA(_xlpm.r,OR(_xlpm.r))),FALSE)</f>
        <v>1</v>
      </c>
      <c r="AF121" s="43" t="b" cm="1">
        <f t="array" ref="AF121">IFERROR(_xlfn.BYROW(TRACK_TYPES[[#This Row],[TRACK_TYPE_NARROW_GAUGE_RAILTYPE_OHLE]:[TRACK_TYPE_NARROW_GAUGE_RAILTYPE_NONE]],_xlfn.LAMBDA(_xlpm.r,OR(_xlpm.r))),FALSE)</f>
        <v>0</v>
      </c>
      <c r="AG121" s="43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2843</v>
      </c>
      <c r="B122" s="45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43" t="b" cm="1">
        <f t="array" ref="AE122">IFERROR(_xlfn.BYROW(TRACK_TYPES[[#This Row],[TRACK_TYPE_STANDARD_GAUGE_RAILTYPE_OHLE]:[TRACK_TYPE_STANDARD_GAUGE_RAILTYPE_NONE]],_xlfn.LAMBDA(_xlpm.r,OR(_xlpm.r))),FALSE)</f>
        <v>0</v>
      </c>
      <c r="AF122" s="43" t="b" cm="1">
        <f t="array" ref="AF122">IFERROR(_xlfn.BYROW(TRACK_TYPES[[#This Row],[TRACK_TYPE_NARROW_GAUGE_RAILTYPE_OHLE]:[TRACK_TYPE_NARROW_GAUGE_RAILTYPE_NONE]],_xlfn.LAMBDA(_xlpm.r,OR(_xlpm.r))),FALSE)</f>
        <v>0</v>
      </c>
      <c r="AG122" s="43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2844</v>
      </c>
      <c r="B123" s="45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43" t="b" cm="1">
        <f t="array" ref="AE123">IFERROR(_xlfn.BYROW(TRACK_TYPES[[#This Row],[TRACK_TYPE_STANDARD_GAUGE_RAILTYPE_OHLE]:[TRACK_TYPE_STANDARD_GAUGE_RAILTYPE_NONE]],_xlfn.LAMBDA(_xlpm.r,OR(_xlpm.r))),FALSE)</f>
        <v>1</v>
      </c>
      <c r="AF123" s="43" t="b" cm="1">
        <f t="array" ref="AF123">IFERROR(_xlfn.BYROW(TRACK_TYPES[[#This Row],[TRACK_TYPE_NARROW_GAUGE_RAILTYPE_OHLE]:[TRACK_TYPE_NARROW_GAUGE_RAILTYPE_NONE]],_xlfn.LAMBDA(_xlpm.r,OR(_xlpm.r))),FALSE)</f>
        <v>0</v>
      </c>
      <c r="AG123" s="43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3537</v>
      </c>
      <c r="B124" s="45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43" t="b" cm="1">
        <f t="array" ref="AE124">IFERROR(_xlfn.BYROW(TRACK_TYPES[[#This Row],[TRACK_TYPE_STANDARD_GAUGE_RAILTYPE_OHLE]:[TRACK_TYPE_STANDARD_GAUGE_RAILTYPE_NONE]],_xlfn.LAMBDA(_xlpm.r,OR(_xlpm.r))),FALSE)</f>
        <v>1</v>
      </c>
      <c r="AF124" s="43" t="b" cm="1">
        <f t="array" ref="AF124">IFERROR(_xlfn.BYROW(TRACK_TYPES[[#This Row],[TRACK_TYPE_NARROW_GAUGE_RAILTYPE_OHLE]:[TRACK_TYPE_NARROW_GAUGE_RAILTYPE_NONE]],_xlfn.LAMBDA(_xlpm.r,OR(_xlpm.r))),FALSE)</f>
        <v>0</v>
      </c>
      <c r="AG124" s="43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2845</v>
      </c>
      <c r="B125" s="45" t="str">
        <f>_xlfn.XLOOKUP(PROPERTIES[[#This Row],[VEHIDCODE]],CONTROL[VEHIDCODE],CONTROL[ENGLISH])</f>
        <v>Vulcan Foundry 2-6-4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43" t="b" cm="1">
        <f t="array" ref="AE125">IFERROR(_xlfn.BYROW(TRACK_TYPES[[#This Row],[TRACK_TYPE_STANDARD_GAUGE_RAILTYPE_OHLE]:[TRACK_TYPE_STANDARD_GAUGE_RAILTYPE_NONE]],_xlfn.LAMBDA(_xlpm.r,OR(_xlpm.r))),FALSE)</f>
        <v>0</v>
      </c>
      <c r="AF125" s="43" t="b" cm="1">
        <f t="array" ref="AF125">IFERROR(_xlfn.BYROW(TRACK_TYPES[[#This Row],[TRACK_TYPE_NARROW_GAUGE_RAILTYPE_OHLE]:[TRACK_TYPE_NARROW_GAUGE_RAILTYPE_NONE]],_xlfn.LAMBDA(_xlpm.r,OR(_xlpm.r))),FALSE)</f>
        <v>0</v>
      </c>
      <c r="AG125" s="43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2846</v>
      </c>
      <c r="B126" s="45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43" t="b" cm="1">
        <f t="array" ref="AE126">IFERROR(_xlfn.BYROW(TRACK_TYPES[[#This Row],[TRACK_TYPE_STANDARD_GAUGE_RAILTYPE_OHLE]:[TRACK_TYPE_STANDARD_GAUGE_RAILTYPE_NONE]],_xlfn.LAMBDA(_xlpm.r,OR(_xlpm.r))),FALSE)</f>
        <v>1</v>
      </c>
      <c r="AF126" s="43" t="b" cm="1">
        <f t="array" ref="AF126">IFERROR(_xlfn.BYROW(TRACK_TYPES[[#This Row],[TRACK_TYPE_NARROW_GAUGE_RAILTYPE_OHLE]:[TRACK_TYPE_NARROW_GAUGE_RAILTYPE_NONE]],_xlfn.LAMBDA(_xlpm.r,OR(_xlpm.r))),FALSE)</f>
        <v>0</v>
      </c>
      <c r="AG126" s="43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2847</v>
      </c>
      <c r="B127" s="45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43" t="b" cm="1">
        <f t="array" ref="AE127">IFERROR(_xlfn.BYROW(TRACK_TYPES[[#This Row],[TRACK_TYPE_STANDARD_GAUGE_RAILTYPE_OHLE]:[TRACK_TYPE_STANDARD_GAUGE_RAILTYPE_NONE]],_xlfn.LAMBDA(_xlpm.r,OR(_xlpm.r))),FALSE)</f>
        <v>1</v>
      </c>
      <c r="AF127" s="43" t="b" cm="1">
        <f t="array" ref="AF127">IFERROR(_xlfn.BYROW(TRACK_TYPES[[#This Row],[TRACK_TYPE_NARROW_GAUGE_RAILTYPE_OHLE]:[TRACK_TYPE_NARROW_GAUGE_RAILTYPE_NONE]],_xlfn.LAMBDA(_xlpm.r,OR(_xlpm.r))),FALSE)</f>
        <v>0</v>
      </c>
      <c r="AG127" s="43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2848</v>
      </c>
      <c r="B128" s="45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43" t="b" cm="1">
        <f t="array" ref="AE128">IFERROR(_xlfn.BYROW(TRACK_TYPES[[#This Row],[TRACK_TYPE_STANDARD_GAUGE_RAILTYPE_OHLE]:[TRACK_TYPE_STANDARD_GAUGE_RAILTYPE_NONE]],_xlfn.LAMBDA(_xlpm.r,OR(_xlpm.r))),FALSE)</f>
        <v>1</v>
      </c>
      <c r="AF128" s="43" t="b" cm="1">
        <f t="array" ref="AF128">IFERROR(_xlfn.BYROW(TRACK_TYPES[[#This Row],[TRACK_TYPE_NARROW_GAUGE_RAILTYPE_OHLE]:[TRACK_TYPE_NARROW_GAUGE_RAILTYPE_NONE]],_xlfn.LAMBDA(_xlpm.r,OR(_xlpm.r))),FALSE)</f>
        <v>0</v>
      </c>
      <c r="AG128" s="43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2849</v>
      </c>
      <c r="B129" s="45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43" t="b" cm="1">
        <f t="array" ref="AE129">IFERROR(_xlfn.BYROW(TRACK_TYPES[[#This Row],[TRACK_TYPE_STANDARD_GAUGE_RAILTYPE_OHLE]:[TRACK_TYPE_STANDARD_GAUGE_RAILTYPE_NONE]],_xlfn.LAMBDA(_xlpm.r,OR(_xlpm.r))),FALSE)</f>
        <v>0</v>
      </c>
      <c r="AF129" s="43" t="b" cm="1">
        <f t="array" ref="AF129">IFERROR(_xlfn.BYROW(TRACK_TYPES[[#This Row],[TRACK_TYPE_NARROW_GAUGE_RAILTYPE_OHLE]:[TRACK_TYPE_NARROW_GAUGE_RAILTYPE_NONE]],_xlfn.LAMBDA(_xlpm.r,OR(_xlpm.r))),FALSE)</f>
        <v>0</v>
      </c>
      <c r="AG129" s="43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2850</v>
      </c>
      <c r="B130" s="45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43" t="b" cm="1">
        <f t="array" ref="AE130">IFERROR(_xlfn.BYROW(TRACK_TYPES[[#This Row],[TRACK_TYPE_STANDARD_GAUGE_RAILTYPE_OHLE]:[TRACK_TYPE_STANDARD_GAUGE_RAILTYPE_NONE]],_xlfn.LAMBDA(_xlpm.r,OR(_xlpm.r))),FALSE)</f>
        <v>0</v>
      </c>
      <c r="AF130" s="43" t="b" cm="1">
        <f t="array" ref="AF130">IFERROR(_xlfn.BYROW(TRACK_TYPES[[#This Row],[TRACK_TYPE_NARROW_GAUGE_RAILTYPE_OHLE]:[TRACK_TYPE_NARROW_GAUGE_RAILTYPE_NONE]],_xlfn.LAMBDA(_xlpm.r,OR(_xlpm.r))),FALSE)</f>
        <v>1</v>
      </c>
      <c r="AG130" s="43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2851</v>
      </c>
      <c r="B131" s="45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43" t="b" cm="1">
        <f t="array" ref="AE131">IFERROR(_xlfn.BYROW(TRACK_TYPES[[#This Row],[TRACK_TYPE_STANDARD_GAUGE_RAILTYPE_OHLE]:[TRACK_TYPE_STANDARD_GAUGE_RAILTYPE_NONE]],_xlfn.LAMBDA(_xlpm.r,OR(_xlpm.r))),FALSE)</f>
        <v>1</v>
      </c>
      <c r="AF131" s="43" t="b" cm="1">
        <f t="array" ref="AF131">IFERROR(_xlfn.BYROW(TRACK_TYPES[[#This Row],[TRACK_TYPE_NARROW_GAUGE_RAILTYPE_OHLE]:[TRACK_TYPE_NARROW_GAUGE_RAILTYPE_NONE]],_xlfn.LAMBDA(_xlpm.r,OR(_xlpm.r))),FALSE)</f>
        <v>0</v>
      </c>
      <c r="AG131" s="43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2852</v>
      </c>
      <c r="B132" s="45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43" t="b" cm="1">
        <f t="array" ref="AE132">IFERROR(_xlfn.BYROW(TRACK_TYPES[[#This Row],[TRACK_TYPE_STANDARD_GAUGE_RAILTYPE_OHLE]:[TRACK_TYPE_STANDARD_GAUGE_RAILTYPE_NONE]],_xlfn.LAMBDA(_xlpm.r,OR(_xlpm.r))),FALSE)</f>
        <v>0</v>
      </c>
      <c r="AF132" s="43" t="b" cm="1">
        <f t="array" ref="AF132">IFERROR(_xlfn.BYROW(TRACK_TYPES[[#This Row],[TRACK_TYPE_NARROW_GAUGE_RAILTYPE_OHLE]:[TRACK_TYPE_NARROW_GAUGE_RAILTYPE_NONE]],_xlfn.LAMBDA(_xlpm.r,OR(_xlpm.r))),FALSE)</f>
        <v>1</v>
      </c>
      <c r="AG132" s="43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2853</v>
      </c>
      <c r="B133" s="45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43" t="b" cm="1">
        <f t="array" ref="AE133">IFERROR(_xlfn.BYROW(TRACK_TYPES[[#This Row],[TRACK_TYPE_STANDARD_GAUGE_RAILTYPE_OHLE]:[TRACK_TYPE_STANDARD_GAUGE_RAILTYPE_NONE]],_xlfn.LAMBDA(_xlpm.r,OR(_xlpm.r))),FALSE)</f>
        <v>1</v>
      </c>
      <c r="AF133" s="43" t="b" cm="1">
        <f t="array" ref="AF133">IFERROR(_xlfn.BYROW(TRACK_TYPES[[#This Row],[TRACK_TYPE_NARROW_GAUGE_RAILTYPE_OHLE]:[TRACK_TYPE_NARROW_GAUGE_RAILTYPE_NONE]],_xlfn.LAMBDA(_xlpm.r,OR(_xlpm.r))),FALSE)</f>
        <v>0</v>
      </c>
      <c r="AG133" s="43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2854</v>
      </c>
      <c r="B134" s="45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43" t="b" cm="1">
        <f t="array" ref="AE134">IFERROR(_xlfn.BYROW(TRACK_TYPES[[#This Row],[TRACK_TYPE_STANDARD_GAUGE_RAILTYPE_OHLE]:[TRACK_TYPE_STANDARD_GAUGE_RAILTYPE_NONE]],_xlfn.LAMBDA(_xlpm.r,OR(_xlpm.r))),FALSE)</f>
        <v>0</v>
      </c>
      <c r="AF134" s="43" t="b" cm="1">
        <f t="array" ref="AF134">IFERROR(_xlfn.BYROW(TRACK_TYPES[[#This Row],[TRACK_TYPE_NARROW_GAUGE_RAILTYPE_OHLE]:[TRACK_TYPE_NARROW_GAUGE_RAILTYPE_NONE]],_xlfn.LAMBDA(_xlpm.r,OR(_xlpm.r))),FALSE)</f>
        <v>0</v>
      </c>
      <c r="AG134" s="43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2855</v>
      </c>
      <c r="B135" s="45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43" t="b" cm="1">
        <f t="array" ref="AE135">IFERROR(_xlfn.BYROW(TRACK_TYPES[[#This Row],[TRACK_TYPE_STANDARD_GAUGE_RAILTYPE_OHLE]:[TRACK_TYPE_STANDARD_GAUGE_RAILTYPE_NONE]],_xlfn.LAMBDA(_xlpm.r,OR(_xlpm.r))),FALSE)</f>
        <v>1</v>
      </c>
      <c r="AF135" s="43" t="b" cm="1">
        <f t="array" ref="AF135">IFERROR(_xlfn.BYROW(TRACK_TYPES[[#This Row],[TRACK_TYPE_NARROW_GAUGE_RAILTYPE_OHLE]:[TRACK_TYPE_NARROW_GAUGE_RAILTYPE_NONE]],_xlfn.LAMBDA(_xlpm.r,OR(_xlpm.r))),FALSE)</f>
        <v>0</v>
      </c>
      <c r="AG135" s="43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2856</v>
      </c>
      <c r="B136" s="45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43" t="b" cm="1">
        <f t="array" ref="AE136">IFERROR(_xlfn.BYROW(TRACK_TYPES[[#This Row],[TRACK_TYPE_STANDARD_GAUGE_RAILTYPE_OHLE]:[TRACK_TYPE_STANDARD_GAUGE_RAILTYPE_NONE]],_xlfn.LAMBDA(_xlpm.r,OR(_xlpm.r))),FALSE)</f>
        <v>1</v>
      </c>
      <c r="AF136" s="43" t="b" cm="1">
        <f t="array" ref="AF136">IFERROR(_xlfn.BYROW(TRACK_TYPES[[#This Row],[TRACK_TYPE_NARROW_GAUGE_RAILTYPE_OHLE]:[TRACK_TYPE_NARROW_GAUGE_RAILTYPE_NONE]],_xlfn.LAMBDA(_xlpm.r,OR(_xlpm.r))),FALSE)</f>
        <v>0</v>
      </c>
      <c r="AG136" s="43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2857</v>
      </c>
      <c r="B137" s="45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43" t="b" cm="1">
        <f t="array" ref="AE137">IFERROR(_xlfn.BYROW(TRACK_TYPES[[#This Row],[TRACK_TYPE_STANDARD_GAUGE_RAILTYPE_OHLE]:[TRACK_TYPE_STANDARD_GAUGE_RAILTYPE_NONE]],_xlfn.LAMBDA(_xlpm.r,OR(_xlpm.r))),FALSE)</f>
        <v>0</v>
      </c>
      <c r="AF137" s="43" t="b" cm="1">
        <f t="array" ref="AF137">IFERROR(_xlfn.BYROW(TRACK_TYPES[[#This Row],[TRACK_TYPE_NARROW_GAUGE_RAILTYPE_OHLE]:[TRACK_TYPE_NARROW_GAUGE_RAILTYPE_NONE]],_xlfn.LAMBDA(_xlpm.r,OR(_xlpm.r))),FALSE)</f>
        <v>0</v>
      </c>
      <c r="AG137" s="43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2858</v>
      </c>
      <c r="B138" s="45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43" t="b" cm="1">
        <f t="array" ref="AE138">IFERROR(_xlfn.BYROW(TRACK_TYPES[[#This Row],[TRACK_TYPE_STANDARD_GAUGE_RAILTYPE_OHLE]:[TRACK_TYPE_STANDARD_GAUGE_RAILTYPE_NONE]],_xlfn.LAMBDA(_xlpm.r,OR(_xlpm.r))),FALSE)</f>
        <v>0</v>
      </c>
      <c r="AF138" s="43" t="b" cm="1">
        <f t="array" ref="AF138">IFERROR(_xlfn.BYROW(TRACK_TYPES[[#This Row],[TRACK_TYPE_NARROW_GAUGE_RAILTYPE_OHLE]:[TRACK_TYPE_NARROW_GAUGE_RAILTYPE_NONE]],_xlfn.LAMBDA(_xlpm.r,OR(_xlpm.r))),FALSE)</f>
        <v>0</v>
      </c>
      <c r="AG138" s="43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2859</v>
      </c>
      <c r="B139" s="45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43" t="b" cm="1">
        <f t="array" ref="AE139">IFERROR(_xlfn.BYROW(TRACK_TYPES[[#This Row],[TRACK_TYPE_STANDARD_GAUGE_RAILTYPE_OHLE]:[TRACK_TYPE_STANDARD_GAUGE_RAILTYPE_NONE]],_xlfn.LAMBDA(_xlpm.r,OR(_xlpm.r))),FALSE)</f>
        <v>0</v>
      </c>
      <c r="AF139" s="43" t="b" cm="1">
        <f t="array" ref="AF139">IFERROR(_xlfn.BYROW(TRACK_TYPES[[#This Row],[TRACK_TYPE_NARROW_GAUGE_RAILTYPE_OHLE]:[TRACK_TYPE_NARROW_GAUGE_RAILTYPE_NONE]],_xlfn.LAMBDA(_xlpm.r,OR(_xlpm.r))),FALSE)</f>
        <v>1</v>
      </c>
      <c r="AG139" s="43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2860</v>
      </c>
      <c r="B140" s="45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43" t="b" cm="1">
        <f t="array" ref="AE140">IFERROR(_xlfn.BYROW(TRACK_TYPES[[#This Row],[TRACK_TYPE_STANDARD_GAUGE_RAILTYPE_OHLE]:[TRACK_TYPE_STANDARD_GAUGE_RAILTYPE_NONE]],_xlfn.LAMBDA(_xlpm.r,OR(_xlpm.r))),FALSE)</f>
        <v>0</v>
      </c>
      <c r="AF140" s="43" t="b" cm="1">
        <f t="array" ref="AF140">IFERROR(_xlfn.BYROW(TRACK_TYPES[[#This Row],[TRACK_TYPE_NARROW_GAUGE_RAILTYPE_OHLE]:[TRACK_TYPE_NARROW_GAUGE_RAILTYPE_NONE]],_xlfn.LAMBDA(_xlpm.r,OR(_xlpm.r))),FALSE)</f>
        <v>1</v>
      </c>
      <c r="AG140" s="43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2861</v>
      </c>
      <c r="B141" s="45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43" t="b" cm="1">
        <f t="array" ref="AE141">IFERROR(_xlfn.BYROW(TRACK_TYPES[[#This Row],[TRACK_TYPE_STANDARD_GAUGE_RAILTYPE_OHLE]:[TRACK_TYPE_STANDARD_GAUGE_RAILTYPE_NONE]],_xlfn.LAMBDA(_xlpm.r,OR(_xlpm.r))),FALSE)</f>
        <v>0</v>
      </c>
      <c r="AF141" s="43" t="b" cm="1">
        <f t="array" ref="AF141">IFERROR(_xlfn.BYROW(TRACK_TYPES[[#This Row],[TRACK_TYPE_NARROW_GAUGE_RAILTYPE_OHLE]:[TRACK_TYPE_NARROW_GAUGE_RAILTYPE_NONE]],_xlfn.LAMBDA(_xlpm.r,OR(_xlpm.r))),FALSE)</f>
        <v>1</v>
      </c>
      <c r="AG141" s="43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2862</v>
      </c>
      <c r="B142" s="45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43" t="b" cm="1">
        <f t="array" ref="AE142">IFERROR(_xlfn.BYROW(TRACK_TYPES[[#This Row],[TRACK_TYPE_STANDARD_GAUGE_RAILTYPE_OHLE]:[TRACK_TYPE_STANDARD_GAUGE_RAILTYPE_NONE]],_xlfn.LAMBDA(_xlpm.r,OR(_xlpm.r))),FALSE)</f>
        <v>0</v>
      </c>
      <c r="AF142" s="43" t="b" cm="1">
        <f t="array" ref="AF142">IFERROR(_xlfn.BYROW(TRACK_TYPES[[#This Row],[TRACK_TYPE_NARROW_GAUGE_RAILTYPE_OHLE]:[TRACK_TYPE_NARROW_GAUGE_RAILTYPE_NONE]],_xlfn.LAMBDA(_xlpm.r,OR(_xlpm.r))),FALSE)</f>
        <v>1</v>
      </c>
      <c r="AG142" s="43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2863</v>
      </c>
      <c r="B143" s="45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43" t="b" cm="1">
        <f t="array" ref="AE143">IFERROR(_xlfn.BYROW(TRACK_TYPES[[#This Row],[TRACK_TYPE_STANDARD_GAUGE_RAILTYPE_OHLE]:[TRACK_TYPE_STANDARD_GAUGE_RAILTYPE_NONE]],_xlfn.LAMBDA(_xlpm.r,OR(_xlpm.r))),FALSE)</f>
        <v>0</v>
      </c>
      <c r="AF143" s="43" t="b" cm="1">
        <f t="array" ref="AF143">IFERROR(_xlfn.BYROW(TRACK_TYPES[[#This Row],[TRACK_TYPE_NARROW_GAUGE_RAILTYPE_OHLE]:[TRACK_TYPE_NARROW_GAUGE_RAILTYPE_NONE]],_xlfn.LAMBDA(_xlpm.r,OR(_xlpm.r))),FALSE)</f>
        <v>1</v>
      </c>
      <c r="AG143" s="43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2864</v>
      </c>
      <c r="B144" s="45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43" t="b" cm="1">
        <f t="array" ref="AE144">IFERROR(_xlfn.BYROW(TRACK_TYPES[[#This Row],[TRACK_TYPE_STANDARD_GAUGE_RAILTYPE_OHLE]:[TRACK_TYPE_STANDARD_GAUGE_RAILTYPE_NONE]],_xlfn.LAMBDA(_xlpm.r,OR(_xlpm.r))),FALSE)</f>
        <v>0</v>
      </c>
      <c r="AF144" s="43" t="b" cm="1">
        <f t="array" ref="AF144">IFERROR(_xlfn.BYROW(TRACK_TYPES[[#This Row],[TRACK_TYPE_NARROW_GAUGE_RAILTYPE_OHLE]:[TRACK_TYPE_NARROW_GAUGE_RAILTYPE_NONE]],_xlfn.LAMBDA(_xlpm.r,OR(_xlpm.r))),FALSE)</f>
        <v>1</v>
      </c>
      <c r="AG144" s="43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2865</v>
      </c>
      <c r="B145" s="45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43" t="b" cm="1">
        <f t="array" ref="AE145">IFERROR(_xlfn.BYROW(TRACK_TYPES[[#This Row],[TRACK_TYPE_STANDARD_GAUGE_RAILTYPE_OHLE]:[TRACK_TYPE_STANDARD_GAUGE_RAILTYPE_NONE]],_xlfn.LAMBDA(_xlpm.r,OR(_xlpm.r))),FALSE)</f>
        <v>0</v>
      </c>
      <c r="AF145" s="43" t="b" cm="1">
        <f t="array" ref="AF145">IFERROR(_xlfn.BYROW(TRACK_TYPES[[#This Row],[TRACK_TYPE_NARROW_GAUGE_RAILTYPE_OHLE]:[TRACK_TYPE_NARROW_GAUGE_RAILTYPE_NONE]],_xlfn.LAMBDA(_xlpm.r,OR(_xlpm.r))),FALSE)</f>
        <v>1</v>
      </c>
      <c r="AG145" s="43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2866</v>
      </c>
      <c r="B146" s="45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43" t="b" cm="1">
        <f t="array" ref="AE146">IFERROR(_xlfn.BYROW(TRACK_TYPES[[#This Row],[TRACK_TYPE_STANDARD_GAUGE_RAILTYPE_OHLE]:[TRACK_TYPE_STANDARD_GAUGE_RAILTYPE_NONE]],_xlfn.LAMBDA(_xlpm.r,OR(_xlpm.r))),FALSE)</f>
        <v>0</v>
      </c>
      <c r="AF146" s="43" t="b" cm="1">
        <f t="array" ref="AF146">IFERROR(_xlfn.BYROW(TRACK_TYPES[[#This Row],[TRACK_TYPE_NARROW_GAUGE_RAILTYPE_OHLE]:[TRACK_TYPE_NARROW_GAUGE_RAILTYPE_NONE]],_xlfn.LAMBDA(_xlpm.r,OR(_xlpm.r))),FALSE)</f>
        <v>0</v>
      </c>
      <c r="AG146" s="43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2867</v>
      </c>
      <c r="B147" s="45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43" t="b" cm="1">
        <f t="array" ref="AE147">IFERROR(_xlfn.BYROW(TRACK_TYPES[[#This Row],[TRACK_TYPE_STANDARD_GAUGE_RAILTYPE_OHLE]:[TRACK_TYPE_STANDARD_GAUGE_RAILTYPE_NONE]],_xlfn.LAMBDA(_xlpm.r,OR(_xlpm.r))),FALSE)</f>
        <v>0</v>
      </c>
      <c r="AF147" s="43" t="b" cm="1">
        <f t="array" ref="AF147">IFERROR(_xlfn.BYROW(TRACK_TYPES[[#This Row],[TRACK_TYPE_NARROW_GAUGE_RAILTYPE_OHLE]:[TRACK_TYPE_NARROW_GAUGE_RAILTYPE_NONE]],_xlfn.LAMBDA(_xlpm.r,OR(_xlpm.r))),FALSE)</f>
        <v>1</v>
      </c>
      <c r="AG147" s="43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2868</v>
      </c>
      <c r="B148" s="45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43" t="b" cm="1">
        <f t="array" ref="AE148">IFERROR(_xlfn.BYROW(TRACK_TYPES[[#This Row],[TRACK_TYPE_STANDARD_GAUGE_RAILTYPE_OHLE]:[TRACK_TYPE_STANDARD_GAUGE_RAILTYPE_NONE]],_xlfn.LAMBDA(_xlpm.r,OR(_xlpm.r))),FALSE)</f>
        <v>1</v>
      </c>
      <c r="AF148" s="43" t="b" cm="1">
        <f t="array" ref="AF148">IFERROR(_xlfn.BYROW(TRACK_TYPES[[#This Row],[TRACK_TYPE_NARROW_GAUGE_RAILTYPE_OHLE]:[TRACK_TYPE_NARROW_GAUGE_RAILTYPE_NONE]],_xlfn.LAMBDA(_xlpm.r,OR(_xlpm.r))),FALSE)</f>
        <v>0</v>
      </c>
      <c r="AG148" s="43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2869</v>
      </c>
      <c r="B149" s="45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43" t="b" cm="1">
        <f t="array" ref="AE149">IFERROR(_xlfn.BYROW(TRACK_TYPES[[#This Row],[TRACK_TYPE_STANDARD_GAUGE_RAILTYPE_OHLE]:[TRACK_TYPE_STANDARD_GAUGE_RAILTYPE_NONE]],_xlfn.LAMBDA(_xlpm.r,OR(_xlpm.r))),FALSE)</f>
        <v>0</v>
      </c>
      <c r="AF149" s="43" t="b" cm="1">
        <f t="array" ref="AF149">IFERROR(_xlfn.BYROW(TRACK_TYPES[[#This Row],[TRACK_TYPE_NARROW_GAUGE_RAILTYPE_OHLE]:[TRACK_TYPE_NARROW_GAUGE_RAILTYPE_NONE]],_xlfn.LAMBDA(_xlpm.r,OR(_xlpm.r))),FALSE)</f>
        <v>0</v>
      </c>
      <c r="AG149" s="43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2870</v>
      </c>
      <c r="B150" s="45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43" t="b" cm="1">
        <f t="array" ref="AE150">IFERROR(_xlfn.BYROW(TRACK_TYPES[[#This Row],[TRACK_TYPE_STANDARD_GAUGE_RAILTYPE_OHLE]:[TRACK_TYPE_STANDARD_GAUGE_RAILTYPE_NONE]],_xlfn.LAMBDA(_xlpm.r,OR(_xlpm.r))),FALSE)</f>
        <v>1</v>
      </c>
      <c r="AF150" s="43" t="b" cm="1">
        <f t="array" ref="AF150">IFERROR(_xlfn.BYROW(TRACK_TYPES[[#This Row],[TRACK_TYPE_NARROW_GAUGE_RAILTYPE_OHLE]:[TRACK_TYPE_NARROW_GAUGE_RAILTYPE_NONE]],_xlfn.LAMBDA(_xlpm.r,OR(_xlpm.r))),FALSE)</f>
        <v>0</v>
      </c>
      <c r="AG150" s="43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2871</v>
      </c>
      <c r="B151" s="45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43" t="b" cm="1">
        <f t="array" ref="AE151">IFERROR(_xlfn.BYROW(TRACK_TYPES[[#This Row],[TRACK_TYPE_STANDARD_GAUGE_RAILTYPE_OHLE]:[TRACK_TYPE_STANDARD_GAUGE_RAILTYPE_NONE]],_xlfn.LAMBDA(_xlpm.r,OR(_xlpm.r))),FALSE)</f>
        <v>1</v>
      </c>
      <c r="AF151" s="43" t="b" cm="1">
        <f t="array" ref="AF151">IFERROR(_xlfn.BYROW(TRACK_TYPES[[#This Row],[TRACK_TYPE_NARROW_GAUGE_RAILTYPE_OHLE]:[TRACK_TYPE_NARROW_GAUGE_RAILTYPE_NONE]],_xlfn.LAMBDA(_xlpm.r,OR(_xlpm.r))),FALSE)</f>
        <v>0</v>
      </c>
      <c r="AG151" s="43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2872</v>
      </c>
      <c r="B152" s="45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43" t="b" cm="1">
        <f t="array" ref="AE152">IFERROR(_xlfn.BYROW(TRACK_TYPES[[#This Row],[TRACK_TYPE_STANDARD_GAUGE_RAILTYPE_OHLE]:[TRACK_TYPE_STANDARD_GAUGE_RAILTYPE_NONE]],_xlfn.LAMBDA(_xlpm.r,OR(_xlpm.r))),FALSE)</f>
        <v>1</v>
      </c>
      <c r="AF152" s="43" t="b" cm="1">
        <f t="array" ref="AF152">IFERROR(_xlfn.BYROW(TRACK_TYPES[[#This Row],[TRACK_TYPE_NARROW_GAUGE_RAILTYPE_OHLE]:[TRACK_TYPE_NARROW_GAUGE_RAILTYPE_NONE]],_xlfn.LAMBDA(_xlpm.r,OR(_xlpm.r))),FALSE)</f>
        <v>0</v>
      </c>
      <c r="AG152" s="43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2873</v>
      </c>
      <c r="B153" s="45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43" t="b" cm="1">
        <f t="array" ref="AE153">IFERROR(_xlfn.BYROW(TRACK_TYPES[[#This Row],[TRACK_TYPE_STANDARD_GAUGE_RAILTYPE_OHLE]:[TRACK_TYPE_STANDARD_GAUGE_RAILTYPE_NONE]],_xlfn.LAMBDA(_xlpm.r,OR(_xlpm.r))),FALSE)</f>
        <v>1</v>
      </c>
      <c r="AF153" s="43" t="b" cm="1">
        <f t="array" ref="AF153">IFERROR(_xlfn.BYROW(TRACK_TYPES[[#This Row],[TRACK_TYPE_NARROW_GAUGE_RAILTYPE_OHLE]:[TRACK_TYPE_NARROW_GAUGE_RAILTYPE_NONE]],_xlfn.LAMBDA(_xlpm.r,OR(_xlpm.r))),FALSE)</f>
        <v>0</v>
      </c>
      <c r="AG153" s="43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2874</v>
      </c>
      <c r="B154" s="45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43" t="b" cm="1">
        <f t="array" ref="AE154">IFERROR(_xlfn.BYROW(TRACK_TYPES[[#This Row],[TRACK_TYPE_STANDARD_GAUGE_RAILTYPE_OHLE]:[TRACK_TYPE_STANDARD_GAUGE_RAILTYPE_NONE]],_xlfn.LAMBDA(_xlpm.r,OR(_xlpm.r))),FALSE)</f>
        <v>1</v>
      </c>
      <c r="AF154" s="43" t="b" cm="1">
        <f t="array" ref="AF154">IFERROR(_xlfn.BYROW(TRACK_TYPES[[#This Row],[TRACK_TYPE_NARROW_GAUGE_RAILTYPE_OHLE]:[TRACK_TYPE_NARROW_GAUGE_RAILTYPE_NONE]],_xlfn.LAMBDA(_xlpm.r,OR(_xlpm.r))),FALSE)</f>
        <v>0</v>
      </c>
      <c r="AG154" s="43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2875</v>
      </c>
      <c r="B155" s="45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43" t="b" cm="1">
        <f t="array" ref="AE155">IFERROR(_xlfn.BYROW(TRACK_TYPES[[#This Row],[TRACK_TYPE_STANDARD_GAUGE_RAILTYPE_OHLE]:[TRACK_TYPE_STANDARD_GAUGE_RAILTYPE_NONE]],_xlfn.LAMBDA(_xlpm.r,OR(_xlpm.r))),FALSE)</f>
        <v>1</v>
      </c>
      <c r="AF155" s="43" t="b" cm="1">
        <f t="array" ref="AF155">IFERROR(_xlfn.BYROW(TRACK_TYPES[[#This Row],[TRACK_TYPE_NARROW_GAUGE_RAILTYPE_OHLE]:[TRACK_TYPE_NARROW_GAUGE_RAILTYPE_NONE]],_xlfn.LAMBDA(_xlpm.r,OR(_xlpm.r))),FALSE)</f>
        <v>0</v>
      </c>
      <c r="AG155" s="43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3557</v>
      </c>
      <c r="B156" s="45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43" t="b" cm="1">
        <f t="array" ref="AE156">IFERROR(_xlfn.BYROW(TRACK_TYPES[[#This Row],[TRACK_TYPE_STANDARD_GAUGE_RAILTYPE_OHLE]:[TRACK_TYPE_STANDARD_GAUGE_RAILTYPE_NONE]],_xlfn.LAMBDA(_xlpm.r,OR(_xlpm.r))),FALSE)</f>
        <v>0</v>
      </c>
      <c r="AF156" s="43" t="b" cm="1">
        <f t="array" ref="AF156">IFERROR(_xlfn.BYROW(TRACK_TYPES[[#This Row],[TRACK_TYPE_NARROW_GAUGE_RAILTYPE_OHLE]:[TRACK_TYPE_NARROW_GAUGE_RAILTYPE_NONE]],_xlfn.LAMBDA(_xlpm.r,OR(_xlpm.r))),FALSE)</f>
        <v>0</v>
      </c>
      <c r="AG156" s="43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2876</v>
      </c>
      <c r="B157" s="45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43" t="b" cm="1">
        <f t="array" ref="AE157">IFERROR(_xlfn.BYROW(TRACK_TYPES[[#This Row],[TRACK_TYPE_STANDARD_GAUGE_RAILTYPE_OHLE]:[TRACK_TYPE_STANDARD_GAUGE_RAILTYPE_NONE]],_xlfn.LAMBDA(_xlpm.r,OR(_xlpm.r))),FALSE)</f>
        <v>1</v>
      </c>
      <c r="AF157" s="43" t="b" cm="1">
        <f t="array" ref="AF157">IFERROR(_xlfn.BYROW(TRACK_TYPES[[#This Row],[TRACK_TYPE_NARROW_GAUGE_RAILTYPE_OHLE]:[TRACK_TYPE_NARROW_GAUGE_RAILTYPE_NONE]],_xlfn.LAMBDA(_xlpm.r,OR(_xlpm.r))),FALSE)</f>
        <v>0</v>
      </c>
      <c r="AG157" s="43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2877</v>
      </c>
      <c r="B158" s="45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43" t="b" cm="1">
        <f t="array" ref="AE158">IFERROR(_xlfn.BYROW(TRACK_TYPES[[#This Row],[TRACK_TYPE_STANDARD_GAUGE_RAILTYPE_OHLE]:[TRACK_TYPE_STANDARD_GAUGE_RAILTYPE_NONE]],_xlfn.LAMBDA(_xlpm.r,OR(_xlpm.r))),FALSE)</f>
        <v>1</v>
      </c>
      <c r="AF158" s="43" t="b" cm="1">
        <f t="array" ref="AF158">IFERROR(_xlfn.BYROW(TRACK_TYPES[[#This Row],[TRACK_TYPE_NARROW_GAUGE_RAILTYPE_OHLE]:[TRACK_TYPE_NARROW_GAUGE_RAILTYPE_NONE]],_xlfn.LAMBDA(_xlpm.r,OR(_xlpm.r))),FALSE)</f>
        <v>0</v>
      </c>
      <c r="AG158" s="43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2878</v>
      </c>
      <c r="B159" s="45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43" t="b" cm="1">
        <f t="array" ref="AE159">IFERROR(_xlfn.BYROW(TRACK_TYPES[[#This Row],[TRACK_TYPE_STANDARD_GAUGE_RAILTYPE_OHLE]:[TRACK_TYPE_STANDARD_GAUGE_RAILTYPE_NONE]],_xlfn.LAMBDA(_xlpm.r,OR(_xlpm.r))),FALSE)</f>
        <v>1</v>
      </c>
      <c r="AF159" s="43" t="b" cm="1">
        <f t="array" ref="AF159">IFERROR(_xlfn.BYROW(TRACK_TYPES[[#This Row],[TRACK_TYPE_NARROW_GAUGE_RAILTYPE_OHLE]:[TRACK_TYPE_NARROW_GAUGE_RAILTYPE_NONE]],_xlfn.LAMBDA(_xlpm.r,OR(_xlpm.r))),FALSE)</f>
        <v>0</v>
      </c>
      <c r="AG159" s="43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2879</v>
      </c>
      <c r="B160" s="45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43" t="b" cm="1">
        <f t="array" ref="AE160">IFERROR(_xlfn.BYROW(TRACK_TYPES[[#This Row],[TRACK_TYPE_STANDARD_GAUGE_RAILTYPE_OHLE]:[TRACK_TYPE_STANDARD_GAUGE_RAILTYPE_NONE]],_xlfn.LAMBDA(_xlpm.r,OR(_xlpm.r))),FALSE)</f>
        <v>1</v>
      </c>
      <c r="AF160" s="43" t="b" cm="1">
        <f t="array" ref="AF160">IFERROR(_xlfn.BYROW(TRACK_TYPES[[#This Row],[TRACK_TYPE_NARROW_GAUGE_RAILTYPE_OHLE]:[TRACK_TYPE_NARROW_GAUGE_RAILTYPE_NONE]],_xlfn.LAMBDA(_xlpm.r,OR(_xlpm.r))),FALSE)</f>
        <v>0</v>
      </c>
      <c r="AG160" s="43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2880</v>
      </c>
      <c r="B161" s="45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43" t="b" cm="1">
        <f t="array" ref="AE161">IFERROR(_xlfn.BYROW(TRACK_TYPES[[#This Row],[TRACK_TYPE_STANDARD_GAUGE_RAILTYPE_OHLE]:[TRACK_TYPE_STANDARD_GAUGE_RAILTYPE_NONE]],_xlfn.LAMBDA(_xlpm.r,OR(_xlpm.r))),FALSE)</f>
        <v>1</v>
      </c>
      <c r="AF161" s="43" t="b" cm="1">
        <f t="array" ref="AF161">IFERROR(_xlfn.BYROW(TRACK_TYPES[[#This Row],[TRACK_TYPE_NARROW_GAUGE_RAILTYPE_OHLE]:[TRACK_TYPE_NARROW_GAUGE_RAILTYPE_NONE]],_xlfn.LAMBDA(_xlpm.r,OR(_xlpm.r))),FALSE)</f>
        <v>0</v>
      </c>
      <c r="AG161" s="43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2881</v>
      </c>
      <c r="B162" s="45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43" t="b" cm="1">
        <f t="array" ref="AE162">IFERROR(_xlfn.BYROW(TRACK_TYPES[[#This Row],[TRACK_TYPE_STANDARD_GAUGE_RAILTYPE_OHLE]:[TRACK_TYPE_STANDARD_GAUGE_RAILTYPE_NONE]],_xlfn.LAMBDA(_xlpm.r,OR(_xlpm.r))),FALSE)</f>
        <v>1</v>
      </c>
      <c r="AF162" s="43" t="b" cm="1">
        <f t="array" ref="AF162">IFERROR(_xlfn.BYROW(TRACK_TYPES[[#This Row],[TRACK_TYPE_NARROW_GAUGE_RAILTYPE_OHLE]:[TRACK_TYPE_NARROW_GAUGE_RAILTYPE_NONE]],_xlfn.LAMBDA(_xlpm.r,OR(_xlpm.r))),FALSE)</f>
        <v>0</v>
      </c>
      <c r="AG162" s="43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2882</v>
      </c>
      <c r="B163" s="45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43" t="b" cm="1">
        <f t="array" ref="AE163">IFERROR(_xlfn.BYROW(TRACK_TYPES[[#This Row],[TRACK_TYPE_STANDARD_GAUGE_RAILTYPE_OHLE]:[TRACK_TYPE_STANDARD_GAUGE_RAILTYPE_NONE]],_xlfn.LAMBDA(_xlpm.r,OR(_xlpm.r))),FALSE)</f>
        <v>1</v>
      </c>
      <c r="AF163" s="43" t="b" cm="1">
        <f t="array" ref="AF163">IFERROR(_xlfn.BYROW(TRACK_TYPES[[#This Row],[TRACK_TYPE_NARROW_GAUGE_RAILTYPE_OHLE]:[TRACK_TYPE_NARROW_GAUGE_RAILTYPE_NONE]],_xlfn.LAMBDA(_xlpm.r,OR(_xlpm.r))),FALSE)</f>
        <v>0</v>
      </c>
      <c r="AG163" s="43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2883</v>
      </c>
      <c r="B164" s="45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43" t="b" cm="1">
        <f t="array" ref="AE164">IFERROR(_xlfn.BYROW(TRACK_TYPES[[#This Row],[TRACK_TYPE_STANDARD_GAUGE_RAILTYPE_OHLE]:[TRACK_TYPE_STANDARD_GAUGE_RAILTYPE_NONE]],_xlfn.LAMBDA(_xlpm.r,OR(_xlpm.r))),FALSE)</f>
        <v>1</v>
      </c>
      <c r="AF164" s="43" t="b" cm="1">
        <f t="array" ref="AF164">IFERROR(_xlfn.BYROW(TRACK_TYPES[[#This Row],[TRACK_TYPE_NARROW_GAUGE_RAILTYPE_OHLE]:[TRACK_TYPE_NARROW_GAUGE_RAILTYPE_NONE]],_xlfn.LAMBDA(_xlpm.r,OR(_xlpm.r))),FALSE)</f>
        <v>0</v>
      </c>
      <c r="AG164" s="43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2884</v>
      </c>
      <c r="B165" s="45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43" t="b" cm="1">
        <f t="array" ref="AE165">IFERROR(_xlfn.BYROW(TRACK_TYPES[[#This Row],[TRACK_TYPE_STANDARD_GAUGE_RAILTYPE_OHLE]:[TRACK_TYPE_STANDARD_GAUGE_RAILTYPE_NONE]],_xlfn.LAMBDA(_xlpm.r,OR(_xlpm.r))),FALSE)</f>
        <v>0</v>
      </c>
      <c r="AF165" s="43" t="b" cm="1">
        <f t="array" ref="AF165">IFERROR(_xlfn.BYROW(TRACK_TYPES[[#This Row],[TRACK_TYPE_NARROW_GAUGE_RAILTYPE_OHLE]:[TRACK_TYPE_NARROW_GAUGE_RAILTYPE_NONE]],_xlfn.LAMBDA(_xlpm.r,OR(_xlpm.r))),FALSE)</f>
        <v>0</v>
      </c>
      <c r="AG165" s="43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2885</v>
      </c>
      <c r="B166" s="45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43" t="b" cm="1">
        <f t="array" ref="AE166">IFERROR(_xlfn.BYROW(TRACK_TYPES[[#This Row],[TRACK_TYPE_STANDARD_GAUGE_RAILTYPE_OHLE]:[TRACK_TYPE_STANDARD_GAUGE_RAILTYPE_NONE]],_xlfn.LAMBDA(_xlpm.r,OR(_xlpm.r))),FALSE)</f>
        <v>1</v>
      </c>
      <c r="AF166" s="43" t="b" cm="1">
        <f t="array" ref="AF166">IFERROR(_xlfn.BYROW(TRACK_TYPES[[#This Row],[TRACK_TYPE_NARROW_GAUGE_RAILTYPE_OHLE]:[TRACK_TYPE_NARROW_GAUGE_RAILTYPE_NONE]],_xlfn.LAMBDA(_xlpm.r,OR(_xlpm.r))),FALSE)</f>
        <v>0</v>
      </c>
      <c r="AG166" s="43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2886</v>
      </c>
      <c r="B167" s="45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43" t="b" cm="1">
        <f t="array" ref="AE167">IFERROR(_xlfn.BYROW(TRACK_TYPES[[#This Row],[TRACK_TYPE_STANDARD_GAUGE_RAILTYPE_OHLE]:[TRACK_TYPE_STANDARD_GAUGE_RAILTYPE_NONE]],_xlfn.LAMBDA(_xlpm.r,OR(_xlpm.r))),FALSE)</f>
        <v>0</v>
      </c>
      <c r="AF167" s="43" t="b" cm="1">
        <f t="array" ref="AF167">IFERROR(_xlfn.BYROW(TRACK_TYPES[[#This Row],[TRACK_TYPE_NARROW_GAUGE_RAILTYPE_OHLE]:[TRACK_TYPE_NARROW_GAUGE_RAILTYPE_NONE]],_xlfn.LAMBDA(_xlpm.r,OR(_xlpm.r))),FALSE)</f>
        <v>0</v>
      </c>
      <c r="AG167" s="43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2887</v>
      </c>
      <c r="B168" s="45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43" t="b" cm="1">
        <f t="array" ref="AE168">IFERROR(_xlfn.BYROW(TRACK_TYPES[[#This Row],[TRACK_TYPE_STANDARD_GAUGE_RAILTYPE_OHLE]:[TRACK_TYPE_STANDARD_GAUGE_RAILTYPE_NONE]],_xlfn.LAMBDA(_xlpm.r,OR(_xlpm.r))),FALSE)</f>
        <v>1</v>
      </c>
      <c r="AF168" s="43" t="b" cm="1">
        <f t="array" ref="AF168">IFERROR(_xlfn.BYROW(TRACK_TYPES[[#This Row],[TRACK_TYPE_NARROW_GAUGE_RAILTYPE_OHLE]:[TRACK_TYPE_NARROW_GAUGE_RAILTYPE_NONE]],_xlfn.LAMBDA(_xlpm.r,OR(_xlpm.r))),FALSE)</f>
        <v>0</v>
      </c>
      <c r="AG168" s="43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2888</v>
      </c>
      <c r="B169" s="45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43" t="b" cm="1">
        <f t="array" ref="AE169">IFERROR(_xlfn.BYROW(TRACK_TYPES[[#This Row],[TRACK_TYPE_STANDARD_GAUGE_RAILTYPE_OHLE]:[TRACK_TYPE_STANDARD_GAUGE_RAILTYPE_NONE]],_xlfn.LAMBDA(_xlpm.r,OR(_xlpm.r))),FALSE)</f>
        <v>1</v>
      </c>
      <c r="AF169" s="43" t="b" cm="1">
        <f t="array" ref="AF169">IFERROR(_xlfn.BYROW(TRACK_TYPES[[#This Row],[TRACK_TYPE_NARROW_GAUGE_RAILTYPE_OHLE]:[TRACK_TYPE_NARROW_GAUGE_RAILTYPE_NONE]],_xlfn.LAMBDA(_xlpm.r,OR(_xlpm.r))),FALSE)</f>
        <v>0</v>
      </c>
      <c r="AG169" s="43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2889</v>
      </c>
      <c r="B170" s="45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43" t="b" cm="1">
        <f t="array" ref="AE170">IFERROR(_xlfn.BYROW(TRACK_TYPES[[#This Row],[TRACK_TYPE_STANDARD_GAUGE_RAILTYPE_OHLE]:[TRACK_TYPE_STANDARD_GAUGE_RAILTYPE_NONE]],_xlfn.LAMBDA(_xlpm.r,OR(_xlpm.r))),FALSE)</f>
        <v>0</v>
      </c>
      <c r="AF170" s="43" t="b" cm="1">
        <f t="array" ref="AF170">IFERROR(_xlfn.BYROW(TRACK_TYPES[[#This Row],[TRACK_TYPE_NARROW_GAUGE_RAILTYPE_OHLE]:[TRACK_TYPE_NARROW_GAUGE_RAILTYPE_NONE]],_xlfn.LAMBDA(_xlpm.r,OR(_xlpm.r))),FALSE)</f>
        <v>1</v>
      </c>
      <c r="AG170" s="43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2890</v>
      </c>
      <c r="B171" s="45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43" t="b" cm="1">
        <f t="array" ref="AE171">IFERROR(_xlfn.BYROW(TRACK_TYPES[[#This Row],[TRACK_TYPE_STANDARD_GAUGE_RAILTYPE_OHLE]:[TRACK_TYPE_STANDARD_GAUGE_RAILTYPE_NONE]],_xlfn.LAMBDA(_xlpm.r,OR(_xlpm.r))),FALSE)</f>
        <v>1</v>
      </c>
      <c r="AF171" s="43" t="b" cm="1">
        <f t="array" ref="AF171">IFERROR(_xlfn.BYROW(TRACK_TYPES[[#This Row],[TRACK_TYPE_NARROW_GAUGE_RAILTYPE_OHLE]:[TRACK_TYPE_NARROW_GAUGE_RAILTYPE_NONE]],_xlfn.LAMBDA(_xlpm.r,OR(_xlpm.r))),FALSE)</f>
        <v>0</v>
      </c>
      <c r="AG171" s="43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2891</v>
      </c>
      <c r="B172" s="45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43" t="b" cm="1">
        <f t="array" ref="AE172">IFERROR(_xlfn.BYROW(TRACK_TYPES[[#This Row],[TRACK_TYPE_STANDARD_GAUGE_RAILTYPE_OHLE]:[TRACK_TYPE_STANDARD_GAUGE_RAILTYPE_NONE]],_xlfn.LAMBDA(_xlpm.r,OR(_xlpm.r))),FALSE)</f>
        <v>1</v>
      </c>
      <c r="AF172" s="43" t="b" cm="1">
        <f t="array" ref="AF172">IFERROR(_xlfn.BYROW(TRACK_TYPES[[#This Row],[TRACK_TYPE_NARROW_GAUGE_RAILTYPE_OHLE]:[TRACK_TYPE_NARROW_GAUGE_RAILTYPE_NONE]],_xlfn.LAMBDA(_xlpm.r,OR(_xlpm.r))),FALSE)</f>
        <v>1</v>
      </c>
      <c r="AG172" s="43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2892</v>
      </c>
      <c r="B173" s="45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43" t="b" cm="1">
        <f t="array" ref="AE173">IFERROR(_xlfn.BYROW(TRACK_TYPES[[#This Row],[TRACK_TYPE_STANDARD_GAUGE_RAILTYPE_OHLE]:[TRACK_TYPE_STANDARD_GAUGE_RAILTYPE_NONE]],_xlfn.LAMBDA(_xlpm.r,OR(_xlpm.r))),FALSE)</f>
        <v>1</v>
      </c>
      <c r="AF173" s="43" t="b" cm="1">
        <f t="array" ref="AF173">IFERROR(_xlfn.BYROW(TRACK_TYPES[[#This Row],[TRACK_TYPE_NARROW_GAUGE_RAILTYPE_OHLE]:[TRACK_TYPE_NARROW_GAUGE_RAILTYPE_NONE]],_xlfn.LAMBDA(_xlpm.r,OR(_xlpm.r))),FALSE)</f>
        <v>0</v>
      </c>
      <c r="AG173" s="43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2893</v>
      </c>
      <c r="B174" s="45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43" t="b" cm="1">
        <f t="array" ref="AE174">IFERROR(_xlfn.BYROW(TRACK_TYPES[[#This Row],[TRACK_TYPE_STANDARD_GAUGE_RAILTYPE_OHLE]:[TRACK_TYPE_STANDARD_GAUGE_RAILTYPE_NONE]],_xlfn.LAMBDA(_xlpm.r,OR(_xlpm.r))),FALSE)</f>
        <v>1</v>
      </c>
      <c r="AF174" s="43" t="b" cm="1">
        <f t="array" ref="AF174">IFERROR(_xlfn.BYROW(TRACK_TYPES[[#This Row],[TRACK_TYPE_NARROW_GAUGE_RAILTYPE_OHLE]:[TRACK_TYPE_NARROW_GAUGE_RAILTYPE_NONE]],_xlfn.LAMBDA(_xlpm.r,OR(_xlpm.r))),FALSE)</f>
        <v>0</v>
      </c>
      <c r="AG174" s="43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2894</v>
      </c>
      <c r="B175" s="45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43" t="b" cm="1">
        <f t="array" ref="AE175">IFERROR(_xlfn.BYROW(TRACK_TYPES[[#This Row],[TRACK_TYPE_STANDARD_GAUGE_RAILTYPE_OHLE]:[TRACK_TYPE_STANDARD_GAUGE_RAILTYPE_NONE]],_xlfn.LAMBDA(_xlpm.r,OR(_xlpm.r))),FALSE)</f>
        <v>1</v>
      </c>
      <c r="AF175" s="43" t="b" cm="1">
        <f t="array" ref="AF175">IFERROR(_xlfn.BYROW(TRACK_TYPES[[#This Row],[TRACK_TYPE_NARROW_GAUGE_RAILTYPE_OHLE]:[TRACK_TYPE_NARROW_GAUGE_RAILTYPE_NONE]],_xlfn.LAMBDA(_xlpm.r,OR(_xlpm.r))),FALSE)</f>
        <v>0</v>
      </c>
      <c r="AG175" s="43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2895</v>
      </c>
      <c r="B176" s="45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43" t="b" cm="1">
        <f t="array" ref="AE176">IFERROR(_xlfn.BYROW(TRACK_TYPES[[#This Row],[TRACK_TYPE_STANDARD_GAUGE_RAILTYPE_OHLE]:[TRACK_TYPE_STANDARD_GAUGE_RAILTYPE_NONE]],_xlfn.LAMBDA(_xlpm.r,OR(_xlpm.r))),FALSE)</f>
        <v>1</v>
      </c>
      <c r="AF176" s="43" t="b" cm="1">
        <f t="array" ref="AF176">IFERROR(_xlfn.BYROW(TRACK_TYPES[[#This Row],[TRACK_TYPE_NARROW_GAUGE_RAILTYPE_OHLE]:[TRACK_TYPE_NARROW_GAUGE_RAILTYPE_NONE]],_xlfn.LAMBDA(_xlpm.r,OR(_xlpm.r))),FALSE)</f>
        <v>0</v>
      </c>
      <c r="AG176" s="43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2896</v>
      </c>
      <c r="B177" s="45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43" t="b" cm="1">
        <f t="array" ref="AE177">IFERROR(_xlfn.BYROW(TRACK_TYPES[[#This Row],[TRACK_TYPE_STANDARD_GAUGE_RAILTYPE_OHLE]:[TRACK_TYPE_STANDARD_GAUGE_RAILTYPE_NONE]],_xlfn.LAMBDA(_xlpm.r,OR(_xlpm.r))),FALSE)</f>
        <v>1</v>
      </c>
      <c r="AF177" s="43" t="b" cm="1">
        <f t="array" ref="AF177">IFERROR(_xlfn.BYROW(TRACK_TYPES[[#This Row],[TRACK_TYPE_NARROW_GAUGE_RAILTYPE_OHLE]:[TRACK_TYPE_NARROW_GAUGE_RAILTYPE_NONE]],_xlfn.LAMBDA(_xlpm.r,OR(_xlpm.r))),FALSE)</f>
        <v>1</v>
      </c>
      <c r="AG177" s="43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2897</v>
      </c>
      <c r="B178" s="45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43" t="b" cm="1">
        <f t="array" ref="AE178">IFERROR(_xlfn.BYROW(TRACK_TYPES[[#This Row],[TRACK_TYPE_STANDARD_GAUGE_RAILTYPE_OHLE]:[TRACK_TYPE_STANDARD_GAUGE_RAILTYPE_NONE]],_xlfn.LAMBDA(_xlpm.r,OR(_xlpm.r))),FALSE)</f>
        <v>1</v>
      </c>
      <c r="AF178" s="43" t="b" cm="1">
        <f t="array" ref="AF178">IFERROR(_xlfn.BYROW(TRACK_TYPES[[#This Row],[TRACK_TYPE_NARROW_GAUGE_RAILTYPE_OHLE]:[TRACK_TYPE_NARROW_GAUGE_RAILTYPE_NONE]],_xlfn.LAMBDA(_xlpm.r,OR(_xlpm.r))),FALSE)</f>
        <v>0</v>
      </c>
      <c r="AG178" s="43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2898</v>
      </c>
      <c r="B179" s="45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43" t="b" cm="1">
        <f t="array" ref="AE179">IFERROR(_xlfn.BYROW(TRACK_TYPES[[#This Row],[TRACK_TYPE_STANDARD_GAUGE_RAILTYPE_OHLE]:[TRACK_TYPE_STANDARD_GAUGE_RAILTYPE_NONE]],_xlfn.LAMBDA(_xlpm.r,OR(_xlpm.r))),FALSE)</f>
        <v>1</v>
      </c>
      <c r="AF179" s="43" t="b" cm="1">
        <f t="array" ref="AF179">IFERROR(_xlfn.BYROW(TRACK_TYPES[[#This Row],[TRACK_TYPE_NARROW_GAUGE_RAILTYPE_OHLE]:[TRACK_TYPE_NARROW_GAUGE_RAILTYPE_NONE]],_xlfn.LAMBDA(_xlpm.r,OR(_xlpm.r))),FALSE)</f>
        <v>0</v>
      </c>
      <c r="AG179" s="43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2899</v>
      </c>
      <c r="B180" s="45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43" t="b" cm="1">
        <f t="array" ref="AE180">IFERROR(_xlfn.BYROW(TRACK_TYPES[[#This Row],[TRACK_TYPE_STANDARD_GAUGE_RAILTYPE_OHLE]:[TRACK_TYPE_STANDARD_GAUGE_RAILTYPE_NONE]],_xlfn.LAMBDA(_xlpm.r,OR(_xlpm.r))),FALSE)</f>
        <v>1</v>
      </c>
      <c r="AF180" s="43" t="b" cm="1">
        <f t="array" ref="AF180">IFERROR(_xlfn.BYROW(TRACK_TYPES[[#This Row],[TRACK_TYPE_NARROW_GAUGE_RAILTYPE_OHLE]:[TRACK_TYPE_NARROW_GAUGE_RAILTYPE_NONE]],_xlfn.LAMBDA(_xlpm.r,OR(_xlpm.r))),FALSE)</f>
        <v>0</v>
      </c>
      <c r="AG180" s="43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2900</v>
      </c>
      <c r="B181" s="45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43" t="b" cm="1">
        <f t="array" ref="AE181">IFERROR(_xlfn.BYROW(TRACK_TYPES[[#This Row],[TRACK_TYPE_STANDARD_GAUGE_RAILTYPE_OHLE]:[TRACK_TYPE_STANDARD_GAUGE_RAILTYPE_NONE]],_xlfn.LAMBDA(_xlpm.r,OR(_xlpm.r))),FALSE)</f>
        <v>1</v>
      </c>
      <c r="AF181" s="43" t="b" cm="1">
        <f t="array" ref="AF181">IFERROR(_xlfn.BYROW(TRACK_TYPES[[#This Row],[TRACK_TYPE_NARROW_GAUGE_RAILTYPE_OHLE]:[TRACK_TYPE_NARROW_GAUGE_RAILTYPE_NONE]],_xlfn.LAMBDA(_xlpm.r,OR(_xlpm.r))),FALSE)</f>
        <v>0</v>
      </c>
      <c r="AG181" s="43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2901</v>
      </c>
      <c r="B182" s="45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43" t="b" cm="1">
        <f t="array" ref="AE182">IFERROR(_xlfn.BYROW(TRACK_TYPES[[#This Row],[TRACK_TYPE_STANDARD_GAUGE_RAILTYPE_OHLE]:[TRACK_TYPE_STANDARD_GAUGE_RAILTYPE_NONE]],_xlfn.LAMBDA(_xlpm.r,OR(_xlpm.r))),FALSE)</f>
        <v>1</v>
      </c>
      <c r="AF182" s="43" t="b" cm="1">
        <f t="array" ref="AF182">IFERROR(_xlfn.BYROW(TRACK_TYPES[[#This Row],[TRACK_TYPE_NARROW_GAUGE_RAILTYPE_OHLE]:[TRACK_TYPE_NARROW_GAUGE_RAILTYPE_NONE]],_xlfn.LAMBDA(_xlpm.r,OR(_xlpm.r))),FALSE)</f>
        <v>0</v>
      </c>
      <c r="AG182" s="43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2902</v>
      </c>
      <c r="B183" s="45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43" t="b" cm="1">
        <f t="array" ref="AE183">IFERROR(_xlfn.BYROW(TRACK_TYPES[[#This Row],[TRACK_TYPE_STANDARD_GAUGE_RAILTYPE_OHLE]:[TRACK_TYPE_STANDARD_GAUGE_RAILTYPE_NONE]],_xlfn.LAMBDA(_xlpm.r,OR(_xlpm.r))),FALSE)</f>
        <v>1</v>
      </c>
      <c r="AF183" s="43" t="b" cm="1">
        <f t="array" ref="AF183">IFERROR(_xlfn.BYROW(TRACK_TYPES[[#This Row],[TRACK_TYPE_NARROW_GAUGE_RAILTYPE_OHLE]:[TRACK_TYPE_NARROW_GAUGE_RAILTYPE_NONE]],_xlfn.LAMBDA(_xlpm.r,OR(_xlpm.r))),FALSE)</f>
        <v>0</v>
      </c>
      <c r="AG183" s="43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2903</v>
      </c>
      <c r="B184" s="45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43" t="b" cm="1">
        <f t="array" ref="AE184">IFERROR(_xlfn.BYROW(TRACK_TYPES[[#This Row],[TRACK_TYPE_STANDARD_GAUGE_RAILTYPE_OHLE]:[TRACK_TYPE_STANDARD_GAUGE_RAILTYPE_NONE]],_xlfn.LAMBDA(_xlpm.r,OR(_xlpm.r))),FALSE)</f>
        <v>1</v>
      </c>
      <c r="AF184" s="43" t="b" cm="1">
        <f t="array" ref="AF184">IFERROR(_xlfn.BYROW(TRACK_TYPES[[#This Row],[TRACK_TYPE_NARROW_GAUGE_RAILTYPE_OHLE]:[TRACK_TYPE_NARROW_GAUGE_RAILTYPE_NONE]],_xlfn.LAMBDA(_xlpm.r,OR(_xlpm.r))),FALSE)</f>
        <v>0</v>
      </c>
      <c r="AG184" s="43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2904</v>
      </c>
      <c r="B185" s="45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43" t="b" cm="1">
        <f t="array" ref="AE185">IFERROR(_xlfn.BYROW(TRACK_TYPES[[#This Row],[TRACK_TYPE_STANDARD_GAUGE_RAILTYPE_OHLE]:[TRACK_TYPE_STANDARD_GAUGE_RAILTYPE_NONE]],_xlfn.LAMBDA(_xlpm.r,OR(_xlpm.r))),FALSE)</f>
        <v>1</v>
      </c>
      <c r="AF185" s="43" t="b" cm="1">
        <f t="array" ref="AF185">IFERROR(_xlfn.BYROW(TRACK_TYPES[[#This Row],[TRACK_TYPE_NARROW_GAUGE_RAILTYPE_OHLE]:[TRACK_TYPE_NARROW_GAUGE_RAILTYPE_NONE]],_xlfn.LAMBDA(_xlpm.r,OR(_xlpm.r))),FALSE)</f>
        <v>0</v>
      </c>
      <c r="AG185" s="43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2905</v>
      </c>
      <c r="B186" s="45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43" t="b" cm="1">
        <f t="array" ref="AE186">IFERROR(_xlfn.BYROW(TRACK_TYPES[[#This Row],[TRACK_TYPE_STANDARD_GAUGE_RAILTYPE_OHLE]:[TRACK_TYPE_STANDARD_GAUGE_RAILTYPE_NONE]],_xlfn.LAMBDA(_xlpm.r,OR(_xlpm.r))),FALSE)</f>
        <v>1</v>
      </c>
      <c r="AF186" s="43" t="b" cm="1">
        <f t="array" ref="AF186">IFERROR(_xlfn.BYROW(TRACK_TYPES[[#This Row],[TRACK_TYPE_NARROW_GAUGE_RAILTYPE_OHLE]:[TRACK_TYPE_NARROW_GAUGE_RAILTYPE_NONE]],_xlfn.LAMBDA(_xlpm.r,OR(_xlpm.r))),FALSE)</f>
        <v>0</v>
      </c>
      <c r="AG186" s="43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2906</v>
      </c>
      <c r="B187" s="45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43" t="b" cm="1">
        <f t="array" ref="AE187">IFERROR(_xlfn.BYROW(TRACK_TYPES[[#This Row],[TRACK_TYPE_STANDARD_GAUGE_RAILTYPE_OHLE]:[TRACK_TYPE_STANDARD_GAUGE_RAILTYPE_NONE]],_xlfn.LAMBDA(_xlpm.r,OR(_xlpm.r))),FALSE)</f>
        <v>1</v>
      </c>
      <c r="AF187" s="43" t="b" cm="1">
        <f t="array" ref="AF187">IFERROR(_xlfn.BYROW(TRACK_TYPES[[#This Row],[TRACK_TYPE_NARROW_GAUGE_RAILTYPE_OHLE]:[TRACK_TYPE_NARROW_GAUGE_RAILTYPE_NONE]],_xlfn.LAMBDA(_xlpm.r,OR(_xlpm.r))),FALSE)</f>
        <v>0</v>
      </c>
      <c r="AG187" s="43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2907</v>
      </c>
      <c r="B188" s="45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43" t="b" cm="1">
        <f t="array" ref="AE188">IFERROR(_xlfn.BYROW(TRACK_TYPES[[#This Row],[TRACK_TYPE_STANDARD_GAUGE_RAILTYPE_OHLE]:[TRACK_TYPE_STANDARD_GAUGE_RAILTYPE_NONE]],_xlfn.LAMBDA(_xlpm.r,OR(_xlpm.r))),FALSE)</f>
        <v>1</v>
      </c>
      <c r="AF188" s="43" t="b" cm="1">
        <f t="array" ref="AF188">IFERROR(_xlfn.BYROW(TRACK_TYPES[[#This Row],[TRACK_TYPE_NARROW_GAUGE_RAILTYPE_OHLE]:[TRACK_TYPE_NARROW_GAUGE_RAILTYPE_NONE]],_xlfn.LAMBDA(_xlpm.r,OR(_xlpm.r))),FALSE)</f>
        <v>1</v>
      </c>
      <c r="AG188" s="43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2908</v>
      </c>
      <c r="B189" s="45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43" t="b" cm="1">
        <f t="array" ref="AE189">IFERROR(_xlfn.BYROW(TRACK_TYPES[[#This Row],[TRACK_TYPE_STANDARD_GAUGE_RAILTYPE_OHLE]:[TRACK_TYPE_STANDARD_GAUGE_RAILTYPE_NONE]],_xlfn.LAMBDA(_xlpm.r,OR(_xlpm.r))),FALSE)</f>
        <v>1</v>
      </c>
      <c r="AF189" s="43" t="b" cm="1">
        <f t="array" ref="AF189">IFERROR(_xlfn.BYROW(TRACK_TYPES[[#This Row],[TRACK_TYPE_NARROW_GAUGE_RAILTYPE_OHLE]:[TRACK_TYPE_NARROW_GAUGE_RAILTYPE_NONE]],_xlfn.LAMBDA(_xlpm.r,OR(_xlpm.r))),FALSE)</f>
        <v>0</v>
      </c>
      <c r="AG189" s="43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2909</v>
      </c>
      <c r="B190" s="45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43" t="b" cm="1">
        <f t="array" ref="AE190">IFERROR(_xlfn.BYROW(TRACK_TYPES[[#This Row],[TRACK_TYPE_STANDARD_GAUGE_RAILTYPE_OHLE]:[TRACK_TYPE_STANDARD_GAUGE_RAILTYPE_NONE]],_xlfn.LAMBDA(_xlpm.r,OR(_xlpm.r))),FALSE)</f>
        <v>1</v>
      </c>
      <c r="AF190" s="43" t="b" cm="1">
        <f t="array" ref="AF190">IFERROR(_xlfn.BYROW(TRACK_TYPES[[#This Row],[TRACK_TYPE_NARROW_GAUGE_RAILTYPE_OHLE]:[TRACK_TYPE_NARROW_GAUGE_RAILTYPE_NONE]],_xlfn.LAMBDA(_xlpm.r,OR(_xlpm.r))),FALSE)</f>
        <v>0</v>
      </c>
      <c r="AG190" s="43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3521</v>
      </c>
      <c r="B191" s="45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43" t="b" cm="1">
        <f t="array" ref="AE191">IFERROR(_xlfn.BYROW(TRACK_TYPES[[#This Row],[TRACK_TYPE_STANDARD_GAUGE_RAILTYPE_OHLE]:[TRACK_TYPE_STANDARD_GAUGE_RAILTYPE_NONE]],_xlfn.LAMBDA(_xlpm.r,OR(_xlpm.r))),FALSE)</f>
        <v>1</v>
      </c>
      <c r="AF191" s="43" t="b" cm="1">
        <f t="array" ref="AF191">IFERROR(_xlfn.BYROW(TRACK_TYPES[[#This Row],[TRACK_TYPE_NARROW_GAUGE_RAILTYPE_OHLE]:[TRACK_TYPE_NARROW_GAUGE_RAILTYPE_NONE]],_xlfn.LAMBDA(_xlpm.r,OR(_xlpm.r))),FALSE)</f>
        <v>0</v>
      </c>
      <c r="AG191" s="43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3522</v>
      </c>
      <c r="B192" s="45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43" t="b" cm="1">
        <f t="array" ref="AE192">IFERROR(_xlfn.BYROW(TRACK_TYPES[[#This Row],[TRACK_TYPE_STANDARD_GAUGE_RAILTYPE_OHLE]:[TRACK_TYPE_STANDARD_GAUGE_RAILTYPE_NONE]],_xlfn.LAMBDA(_xlpm.r,OR(_xlpm.r))),FALSE)</f>
        <v>1</v>
      </c>
      <c r="AF192" s="43" t="b" cm="1">
        <f t="array" ref="AF192">IFERROR(_xlfn.BYROW(TRACK_TYPES[[#This Row],[TRACK_TYPE_NARROW_GAUGE_RAILTYPE_OHLE]:[TRACK_TYPE_NARROW_GAUGE_RAILTYPE_NONE]],_xlfn.LAMBDA(_xlpm.r,OR(_xlpm.r))),FALSE)</f>
        <v>0</v>
      </c>
      <c r="AG192" s="43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2910</v>
      </c>
      <c r="B193" s="45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43" t="b" cm="1">
        <f t="array" ref="AE193">IFERROR(_xlfn.BYROW(TRACK_TYPES[[#This Row],[TRACK_TYPE_STANDARD_GAUGE_RAILTYPE_OHLE]:[TRACK_TYPE_STANDARD_GAUGE_RAILTYPE_NONE]],_xlfn.LAMBDA(_xlpm.r,OR(_xlpm.r))),FALSE)</f>
        <v>1</v>
      </c>
      <c r="AF193" s="43" t="b" cm="1">
        <f t="array" ref="AF193">IFERROR(_xlfn.BYROW(TRACK_TYPES[[#This Row],[TRACK_TYPE_NARROW_GAUGE_RAILTYPE_OHLE]:[TRACK_TYPE_NARROW_GAUGE_RAILTYPE_NONE]],_xlfn.LAMBDA(_xlpm.r,OR(_xlpm.r))),FALSE)</f>
        <v>0</v>
      </c>
      <c r="AG193" s="43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2911</v>
      </c>
      <c r="B194" s="45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43" t="b" cm="1">
        <f t="array" ref="AE194">IFERROR(_xlfn.BYROW(TRACK_TYPES[[#This Row],[TRACK_TYPE_STANDARD_GAUGE_RAILTYPE_OHLE]:[TRACK_TYPE_STANDARD_GAUGE_RAILTYPE_NONE]],_xlfn.LAMBDA(_xlpm.r,OR(_xlpm.r))),FALSE)</f>
        <v>1</v>
      </c>
      <c r="AF194" s="43" t="b" cm="1">
        <f t="array" ref="AF194">IFERROR(_xlfn.BYROW(TRACK_TYPES[[#This Row],[TRACK_TYPE_NARROW_GAUGE_RAILTYPE_OHLE]:[TRACK_TYPE_NARROW_GAUGE_RAILTYPE_NONE]],_xlfn.LAMBDA(_xlpm.r,OR(_xlpm.r))),FALSE)</f>
        <v>0</v>
      </c>
      <c r="AG194" s="43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2912</v>
      </c>
      <c r="B195" s="45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43" t="b" cm="1">
        <f t="array" ref="AE195">IFERROR(_xlfn.BYROW(TRACK_TYPES[[#This Row],[TRACK_TYPE_STANDARD_GAUGE_RAILTYPE_OHLE]:[TRACK_TYPE_STANDARD_GAUGE_RAILTYPE_NONE]],_xlfn.LAMBDA(_xlpm.r,OR(_xlpm.r))),FALSE)</f>
        <v>1</v>
      </c>
      <c r="AF195" s="43" t="b" cm="1">
        <f t="array" ref="AF195">IFERROR(_xlfn.BYROW(TRACK_TYPES[[#This Row],[TRACK_TYPE_NARROW_GAUGE_RAILTYPE_OHLE]:[TRACK_TYPE_NARROW_GAUGE_RAILTYPE_NONE]],_xlfn.LAMBDA(_xlpm.r,OR(_xlpm.r))),FALSE)</f>
        <v>0</v>
      </c>
      <c r="AG195" s="43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2913</v>
      </c>
      <c r="B196" s="45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43" t="b" cm="1">
        <f t="array" ref="AE196">IFERROR(_xlfn.BYROW(TRACK_TYPES[[#This Row],[TRACK_TYPE_STANDARD_GAUGE_RAILTYPE_OHLE]:[TRACK_TYPE_STANDARD_GAUGE_RAILTYPE_NONE]],_xlfn.LAMBDA(_xlpm.r,OR(_xlpm.r))),FALSE)</f>
        <v>0</v>
      </c>
      <c r="AF196" s="43" t="b" cm="1">
        <f t="array" ref="AF196">IFERROR(_xlfn.BYROW(TRACK_TYPES[[#This Row],[TRACK_TYPE_NARROW_GAUGE_RAILTYPE_OHLE]:[TRACK_TYPE_NARROW_GAUGE_RAILTYPE_NONE]],_xlfn.LAMBDA(_xlpm.r,OR(_xlpm.r))),FALSE)</f>
        <v>0</v>
      </c>
      <c r="AG196" s="43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2914</v>
      </c>
      <c r="B197" s="45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43" t="b" cm="1">
        <f t="array" ref="AE197">IFERROR(_xlfn.BYROW(TRACK_TYPES[[#This Row],[TRACK_TYPE_STANDARD_GAUGE_RAILTYPE_OHLE]:[TRACK_TYPE_STANDARD_GAUGE_RAILTYPE_NONE]],_xlfn.LAMBDA(_xlpm.r,OR(_xlpm.r))),FALSE)</f>
        <v>1</v>
      </c>
      <c r="AF197" s="43" t="b" cm="1">
        <f t="array" ref="AF197">IFERROR(_xlfn.BYROW(TRACK_TYPES[[#This Row],[TRACK_TYPE_NARROW_GAUGE_RAILTYPE_OHLE]:[TRACK_TYPE_NARROW_GAUGE_RAILTYPE_NONE]],_xlfn.LAMBDA(_xlpm.r,OR(_xlpm.r))),FALSE)</f>
        <v>0</v>
      </c>
      <c r="AG197" s="43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2915</v>
      </c>
      <c r="B198" s="45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43" t="b" cm="1">
        <f t="array" ref="AE198">IFERROR(_xlfn.BYROW(TRACK_TYPES[[#This Row],[TRACK_TYPE_STANDARD_GAUGE_RAILTYPE_OHLE]:[TRACK_TYPE_STANDARD_GAUGE_RAILTYPE_NONE]],_xlfn.LAMBDA(_xlpm.r,OR(_xlpm.r))),FALSE)</f>
        <v>1</v>
      </c>
      <c r="AF198" s="43" t="b" cm="1">
        <f t="array" ref="AF198">IFERROR(_xlfn.BYROW(TRACK_TYPES[[#This Row],[TRACK_TYPE_NARROW_GAUGE_RAILTYPE_OHLE]:[TRACK_TYPE_NARROW_GAUGE_RAILTYPE_NONE]],_xlfn.LAMBDA(_xlpm.r,OR(_xlpm.r))),FALSE)</f>
        <v>1</v>
      </c>
      <c r="AG198" s="43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>
      <c r="A199" s="2" t="s">
        <v>2916</v>
      </c>
      <c r="B199" s="45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43" t="b" cm="1">
        <f t="array" ref="AE199">IFERROR(_xlfn.BYROW(TRACK_TYPES[[#This Row],[TRACK_TYPE_STANDARD_GAUGE_RAILTYPE_OHLE]:[TRACK_TYPE_STANDARD_GAUGE_RAILTYPE_NONE]],_xlfn.LAMBDA(_xlpm.r,OR(_xlpm.r))),FALSE)</f>
        <v>1</v>
      </c>
      <c r="AF199" s="43" t="b" cm="1">
        <f t="array" ref="AF199">IFERROR(_xlfn.BYROW(TRACK_TYPES[[#This Row],[TRACK_TYPE_NARROW_GAUGE_RAILTYPE_OHLE]:[TRACK_TYPE_NARROW_GAUGE_RAILTYPE_NONE]],_xlfn.LAMBDA(_xlpm.r,OR(_xlpm.r))),FALSE)</f>
        <v>1</v>
      </c>
      <c r="AG199" s="43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2917</v>
      </c>
      <c r="B200" s="45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43" t="b" cm="1">
        <f t="array" ref="AE200">IFERROR(_xlfn.BYROW(TRACK_TYPES[[#This Row],[TRACK_TYPE_STANDARD_GAUGE_RAILTYPE_OHLE]:[TRACK_TYPE_STANDARD_GAUGE_RAILTYPE_NONE]],_xlfn.LAMBDA(_xlpm.r,OR(_xlpm.r))),FALSE)</f>
        <v>0</v>
      </c>
      <c r="AF200" s="43" t="b" cm="1">
        <f t="array" ref="AF200">IFERROR(_xlfn.BYROW(TRACK_TYPES[[#This Row],[TRACK_TYPE_NARROW_GAUGE_RAILTYPE_OHLE]:[TRACK_TYPE_NARROW_GAUGE_RAILTYPE_NONE]],_xlfn.LAMBDA(_xlpm.r,OR(_xlpm.r))),FALSE)</f>
        <v>0</v>
      </c>
      <c r="AG200" s="43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2918</v>
      </c>
      <c r="B201" s="45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43" t="b" cm="1">
        <f t="array" ref="AE201">IFERROR(_xlfn.BYROW(TRACK_TYPES[[#This Row],[TRACK_TYPE_STANDARD_GAUGE_RAILTYPE_OHLE]:[TRACK_TYPE_STANDARD_GAUGE_RAILTYPE_NONE]],_xlfn.LAMBDA(_xlpm.r,OR(_xlpm.r))),FALSE)</f>
        <v>1</v>
      </c>
      <c r="AF201" s="43" t="b" cm="1">
        <f t="array" ref="AF201">IFERROR(_xlfn.BYROW(TRACK_TYPES[[#This Row],[TRACK_TYPE_NARROW_GAUGE_RAILTYPE_OHLE]:[TRACK_TYPE_NARROW_GAUGE_RAILTYPE_NONE]],_xlfn.LAMBDA(_xlpm.r,OR(_xlpm.r))),FALSE)</f>
        <v>0</v>
      </c>
      <c r="AG201" s="43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2919</v>
      </c>
      <c r="B202" s="45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43" t="b" cm="1">
        <f t="array" ref="AE202">IFERROR(_xlfn.BYROW(TRACK_TYPES[[#This Row],[TRACK_TYPE_STANDARD_GAUGE_RAILTYPE_OHLE]:[TRACK_TYPE_STANDARD_GAUGE_RAILTYPE_NONE]],_xlfn.LAMBDA(_xlpm.r,OR(_xlpm.r))),FALSE)</f>
        <v>1</v>
      </c>
      <c r="AF202" s="43" t="b" cm="1">
        <f t="array" ref="AF202">IFERROR(_xlfn.BYROW(TRACK_TYPES[[#This Row],[TRACK_TYPE_NARROW_GAUGE_RAILTYPE_OHLE]:[TRACK_TYPE_NARROW_GAUGE_RAILTYPE_NONE]],_xlfn.LAMBDA(_xlpm.r,OR(_xlpm.r))),FALSE)</f>
        <v>0</v>
      </c>
      <c r="AG202" s="43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2920</v>
      </c>
      <c r="B203" s="45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43" t="b" cm="1">
        <f t="array" ref="AE203">IFERROR(_xlfn.BYROW(TRACK_TYPES[[#This Row],[TRACK_TYPE_STANDARD_GAUGE_RAILTYPE_OHLE]:[TRACK_TYPE_STANDARD_GAUGE_RAILTYPE_NONE]],_xlfn.LAMBDA(_xlpm.r,OR(_xlpm.r))),FALSE)</f>
        <v>0</v>
      </c>
      <c r="AF203" s="43" t="b" cm="1">
        <f t="array" ref="AF203">IFERROR(_xlfn.BYROW(TRACK_TYPES[[#This Row],[TRACK_TYPE_NARROW_GAUGE_RAILTYPE_OHLE]:[TRACK_TYPE_NARROW_GAUGE_RAILTYPE_NONE]],_xlfn.LAMBDA(_xlpm.r,OR(_xlpm.r))),FALSE)</f>
        <v>0</v>
      </c>
      <c r="AG203" s="43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2921</v>
      </c>
      <c r="B204" s="45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43" t="b" cm="1">
        <f t="array" ref="AE204">IFERROR(_xlfn.BYROW(TRACK_TYPES[[#This Row],[TRACK_TYPE_STANDARD_GAUGE_RAILTYPE_OHLE]:[TRACK_TYPE_STANDARD_GAUGE_RAILTYPE_NONE]],_xlfn.LAMBDA(_xlpm.r,OR(_xlpm.r))),FALSE)</f>
        <v>1</v>
      </c>
      <c r="AF204" s="43" t="b" cm="1">
        <f t="array" ref="AF204">IFERROR(_xlfn.BYROW(TRACK_TYPES[[#This Row],[TRACK_TYPE_NARROW_GAUGE_RAILTYPE_OHLE]:[TRACK_TYPE_NARROW_GAUGE_RAILTYPE_NONE]],_xlfn.LAMBDA(_xlpm.r,OR(_xlpm.r))),FALSE)</f>
        <v>0</v>
      </c>
      <c r="AG204" s="43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2922</v>
      </c>
      <c r="B205" s="45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43" t="b" cm="1">
        <f t="array" ref="AE205">IFERROR(_xlfn.BYROW(TRACK_TYPES[[#This Row],[TRACK_TYPE_STANDARD_GAUGE_RAILTYPE_OHLE]:[TRACK_TYPE_STANDARD_GAUGE_RAILTYPE_NONE]],_xlfn.LAMBDA(_xlpm.r,OR(_xlpm.r))),FALSE)</f>
        <v>1</v>
      </c>
      <c r="AF205" s="43" t="b" cm="1">
        <f t="array" ref="AF205">IFERROR(_xlfn.BYROW(TRACK_TYPES[[#This Row],[TRACK_TYPE_NARROW_GAUGE_RAILTYPE_OHLE]:[TRACK_TYPE_NARROW_GAUGE_RAILTYPE_NONE]],_xlfn.LAMBDA(_xlpm.r,OR(_xlpm.r))),FALSE)</f>
        <v>0</v>
      </c>
      <c r="AG205" s="43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2923</v>
      </c>
      <c r="B206" s="45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43" t="b" cm="1">
        <f t="array" ref="AE206">IFERROR(_xlfn.BYROW(TRACK_TYPES[[#This Row],[TRACK_TYPE_STANDARD_GAUGE_RAILTYPE_OHLE]:[TRACK_TYPE_STANDARD_GAUGE_RAILTYPE_NONE]],_xlfn.LAMBDA(_xlpm.r,OR(_xlpm.r))),FALSE)</f>
        <v>0</v>
      </c>
      <c r="AF206" s="43" t="b" cm="1">
        <f t="array" ref="AF206">IFERROR(_xlfn.BYROW(TRACK_TYPES[[#This Row],[TRACK_TYPE_NARROW_GAUGE_RAILTYPE_OHLE]:[TRACK_TYPE_NARROW_GAUGE_RAILTYPE_NONE]],_xlfn.LAMBDA(_xlpm.r,OR(_xlpm.r))),FALSE)</f>
        <v>0</v>
      </c>
      <c r="AG206" s="43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2924</v>
      </c>
      <c r="B207" s="45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43" t="b" cm="1">
        <f t="array" ref="AE207">IFERROR(_xlfn.BYROW(TRACK_TYPES[[#This Row],[TRACK_TYPE_STANDARD_GAUGE_RAILTYPE_OHLE]:[TRACK_TYPE_STANDARD_GAUGE_RAILTYPE_NONE]],_xlfn.LAMBDA(_xlpm.r,OR(_xlpm.r))),FALSE)</f>
        <v>1</v>
      </c>
      <c r="AF207" s="43" t="b" cm="1">
        <f t="array" ref="AF207">IFERROR(_xlfn.BYROW(TRACK_TYPES[[#This Row],[TRACK_TYPE_NARROW_GAUGE_RAILTYPE_OHLE]:[TRACK_TYPE_NARROW_GAUGE_RAILTYPE_NONE]],_xlfn.LAMBDA(_xlpm.r,OR(_xlpm.r))),FALSE)</f>
        <v>0</v>
      </c>
      <c r="AG207" s="43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2925</v>
      </c>
      <c r="B208" s="45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43" t="b" cm="1">
        <f t="array" ref="AE208">IFERROR(_xlfn.BYROW(TRACK_TYPES[[#This Row],[TRACK_TYPE_STANDARD_GAUGE_RAILTYPE_OHLE]:[TRACK_TYPE_STANDARD_GAUGE_RAILTYPE_NONE]],_xlfn.LAMBDA(_xlpm.r,OR(_xlpm.r))),FALSE)</f>
        <v>1</v>
      </c>
      <c r="AF208" s="43" t="b" cm="1">
        <f t="array" ref="AF208">IFERROR(_xlfn.BYROW(TRACK_TYPES[[#This Row],[TRACK_TYPE_NARROW_GAUGE_RAILTYPE_OHLE]:[TRACK_TYPE_NARROW_GAUGE_RAILTYPE_NONE]],_xlfn.LAMBDA(_xlpm.r,OR(_xlpm.r))),FALSE)</f>
        <v>0</v>
      </c>
      <c r="AG208" s="43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2926</v>
      </c>
      <c r="B209" s="45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43" t="b" cm="1">
        <f t="array" ref="AE209">IFERROR(_xlfn.BYROW(TRACK_TYPES[[#This Row],[TRACK_TYPE_STANDARD_GAUGE_RAILTYPE_OHLE]:[TRACK_TYPE_STANDARD_GAUGE_RAILTYPE_NONE]],_xlfn.LAMBDA(_xlpm.r,OR(_xlpm.r))),FALSE)</f>
        <v>1</v>
      </c>
      <c r="AF209" s="43" t="b" cm="1">
        <f t="array" ref="AF209">IFERROR(_xlfn.BYROW(TRACK_TYPES[[#This Row],[TRACK_TYPE_NARROW_GAUGE_RAILTYPE_OHLE]:[TRACK_TYPE_NARROW_GAUGE_RAILTYPE_NONE]],_xlfn.LAMBDA(_xlpm.r,OR(_xlpm.r))),FALSE)</f>
        <v>0</v>
      </c>
      <c r="AG209" s="43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2927</v>
      </c>
      <c r="B210" s="45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43" t="b" cm="1">
        <f t="array" ref="AE210">IFERROR(_xlfn.BYROW(TRACK_TYPES[[#This Row],[TRACK_TYPE_STANDARD_GAUGE_RAILTYPE_OHLE]:[TRACK_TYPE_STANDARD_GAUGE_RAILTYPE_NONE]],_xlfn.LAMBDA(_xlpm.r,OR(_xlpm.r))),FALSE)</f>
        <v>1</v>
      </c>
      <c r="AF210" s="43" t="b" cm="1">
        <f t="array" ref="AF210">IFERROR(_xlfn.BYROW(TRACK_TYPES[[#This Row],[TRACK_TYPE_NARROW_GAUGE_RAILTYPE_OHLE]:[TRACK_TYPE_NARROW_GAUGE_RAILTYPE_NONE]],_xlfn.LAMBDA(_xlpm.r,OR(_xlpm.r))),FALSE)</f>
        <v>0</v>
      </c>
      <c r="AG210" s="43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2928</v>
      </c>
      <c r="B211" s="45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43" t="b" cm="1">
        <f t="array" ref="AE211">IFERROR(_xlfn.BYROW(TRACK_TYPES[[#This Row],[TRACK_TYPE_STANDARD_GAUGE_RAILTYPE_OHLE]:[TRACK_TYPE_STANDARD_GAUGE_RAILTYPE_NONE]],_xlfn.LAMBDA(_xlpm.r,OR(_xlpm.r))),FALSE)</f>
        <v>0</v>
      </c>
      <c r="AF211" s="43" t="b" cm="1">
        <f t="array" ref="AF211">IFERROR(_xlfn.BYROW(TRACK_TYPES[[#This Row],[TRACK_TYPE_NARROW_GAUGE_RAILTYPE_OHLE]:[TRACK_TYPE_NARROW_GAUGE_RAILTYPE_NONE]],_xlfn.LAMBDA(_xlpm.r,OR(_xlpm.r))),FALSE)</f>
        <v>1</v>
      </c>
      <c r="AG211" s="43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2929</v>
      </c>
      <c r="B212" s="45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43" t="b" cm="1">
        <f t="array" ref="AE212">IFERROR(_xlfn.BYROW(TRACK_TYPES[[#This Row],[TRACK_TYPE_STANDARD_GAUGE_RAILTYPE_OHLE]:[TRACK_TYPE_STANDARD_GAUGE_RAILTYPE_NONE]],_xlfn.LAMBDA(_xlpm.r,OR(_xlpm.r))),FALSE)</f>
        <v>1</v>
      </c>
      <c r="AF212" s="43" t="b" cm="1">
        <f t="array" ref="AF212">IFERROR(_xlfn.BYROW(TRACK_TYPES[[#This Row],[TRACK_TYPE_NARROW_GAUGE_RAILTYPE_OHLE]:[TRACK_TYPE_NARROW_GAUGE_RAILTYPE_NONE]],_xlfn.LAMBDA(_xlpm.r,OR(_xlpm.r))),FALSE)</f>
        <v>1</v>
      </c>
      <c r="AG212" s="43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2930</v>
      </c>
      <c r="B213" s="45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43" t="b" cm="1">
        <f t="array" ref="AE213">IFERROR(_xlfn.BYROW(TRACK_TYPES[[#This Row],[TRACK_TYPE_STANDARD_GAUGE_RAILTYPE_OHLE]:[TRACK_TYPE_STANDARD_GAUGE_RAILTYPE_NONE]],_xlfn.LAMBDA(_xlpm.r,OR(_xlpm.r))),FALSE)</f>
        <v>1</v>
      </c>
      <c r="AF213" s="43" t="b" cm="1">
        <f t="array" ref="AF213">IFERROR(_xlfn.BYROW(TRACK_TYPES[[#This Row],[TRACK_TYPE_NARROW_GAUGE_RAILTYPE_OHLE]:[TRACK_TYPE_NARROW_GAUGE_RAILTYPE_NONE]],_xlfn.LAMBDA(_xlpm.r,OR(_xlpm.r))),FALSE)</f>
        <v>0</v>
      </c>
      <c r="AG213" s="43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2931</v>
      </c>
      <c r="B214" s="45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43" t="b" cm="1">
        <f t="array" ref="AE214">IFERROR(_xlfn.BYROW(TRACK_TYPES[[#This Row],[TRACK_TYPE_STANDARD_GAUGE_RAILTYPE_OHLE]:[TRACK_TYPE_STANDARD_GAUGE_RAILTYPE_NONE]],_xlfn.LAMBDA(_xlpm.r,OR(_xlpm.r))),FALSE)</f>
        <v>1</v>
      </c>
      <c r="AF214" s="43" t="b" cm="1">
        <f t="array" ref="AF214">IFERROR(_xlfn.BYROW(TRACK_TYPES[[#This Row],[TRACK_TYPE_NARROW_GAUGE_RAILTYPE_OHLE]:[TRACK_TYPE_NARROW_GAUGE_RAILTYPE_NONE]],_xlfn.LAMBDA(_xlpm.r,OR(_xlpm.r))),FALSE)</f>
        <v>0</v>
      </c>
      <c r="AG214" s="43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2932</v>
      </c>
      <c r="B215" s="45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43" t="b" cm="1">
        <f t="array" ref="AE215">IFERROR(_xlfn.BYROW(TRACK_TYPES[[#This Row],[TRACK_TYPE_STANDARD_GAUGE_RAILTYPE_OHLE]:[TRACK_TYPE_STANDARD_GAUGE_RAILTYPE_NONE]],_xlfn.LAMBDA(_xlpm.r,OR(_xlpm.r))),FALSE)</f>
        <v>1</v>
      </c>
      <c r="AF215" s="43" t="b" cm="1">
        <f t="array" ref="AF215">IFERROR(_xlfn.BYROW(TRACK_TYPES[[#This Row],[TRACK_TYPE_NARROW_GAUGE_RAILTYPE_OHLE]:[TRACK_TYPE_NARROW_GAUGE_RAILTYPE_NONE]],_xlfn.LAMBDA(_xlpm.r,OR(_xlpm.r))),FALSE)</f>
        <v>0</v>
      </c>
      <c r="AG215" s="43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2933</v>
      </c>
      <c r="B216" s="45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43" t="b" cm="1">
        <f t="array" ref="AE216">IFERROR(_xlfn.BYROW(TRACK_TYPES[[#This Row],[TRACK_TYPE_STANDARD_GAUGE_RAILTYPE_OHLE]:[TRACK_TYPE_STANDARD_GAUGE_RAILTYPE_NONE]],_xlfn.LAMBDA(_xlpm.r,OR(_xlpm.r))),FALSE)</f>
        <v>1</v>
      </c>
      <c r="AF216" s="43" t="b" cm="1">
        <f t="array" ref="AF216">IFERROR(_xlfn.BYROW(TRACK_TYPES[[#This Row],[TRACK_TYPE_NARROW_GAUGE_RAILTYPE_OHLE]:[TRACK_TYPE_NARROW_GAUGE_RAILTYPE_NONE]],_xlfn.LAMBDA(_xlpm.r,OR(_xlpm.r))),FALSE)</f>
        <v>0</v>
      </c>
      <c r="AG216" s="43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2934</v>
      </c>
      <c r="B217" s="45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43" t="b" cm="1">
        <f t="array" ref="AE217">IFERROR(_xlfn.BYROW(TRACK_TYPES[[#This Row],[TRACK_TYPE_STANDARD_GAUGE_RAILTYPE_OHLE]:[TRACK_TYPE_STANDARD_GAUGE_RAILTYPE_NONE]],_xlfn.LAMBDA(_xlpm.r,OR(_xlpm.r))),FALSE)</f>
        <v>1</v>
      </c>
      <c r="AF217" s="43" t="b" cm="1">
        <f t="array" ref="AF217">IFERROR(_xlfn.BYROW(TRACK_TYPES[[#This Row],[TRACK_TYPE_NARROW_GAUGE_RAILTYPE_OHLE]:[TRACK_TYPE_NARROW_GAUGE_RAILTYPE_NONE]],_xlfn.LAMBDA(_xlpm.r,OR(_xlpm.r))),FALSE)</f>
        <v>0</v>
      </c>
      <c r="AG217" s="43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2935</v>
      </c>
      <c r="B218" s="45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43" t="b" cm="1">
        <f t="array" ref="AE218">IFERROR(_xlfn.BYROW(TRACK_TYPES[[#This Row],[TRACK_TYPE_STANDARD_GAUGE_RAILTYPE_OHLE]:[TRACK_TYPE_STANDARD_GAUGE_RAILTYPE_NONE]],_xlfn.LAMBDA(_xlpm.r,OR(_xlpm.r))),FALSE)</f>
        <v>0</v>
      </c>
      <c r="AF218" s="43" t="b" cm="1">
        <f t="array" ref="AF218">IFERROR(_xlfn.BYROW(TRACK_TYPES[[#This Row],[TRACK_TYPE_NARROW_GAUGE_RAILTYPE_OHLE]:[TRACK_TYPE_NARROW_GAUGE_RAILTYPE_NONE]],_xlfn.LAMBDA(_xlpm.r,OR(_xlpm.r))),FALSE)</f>
        <v>0</v>
      </c>
      <c r="AG218" s="43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2936</v>
      </c>
      <c r="B219" s="45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43" t="b" cm="1">
        <f t="array" ref="AE219">IFERROR(_xlfn.BYROW(TRACK_TYPES[[#This Row],[TRACK_TYPE_STANDARD_GAUGE_RAILTYPE_OHLE]:[TRACK_TYPE_STANDARD_GAUGE_RAILTYPE_NONE]],_xlfn.LAMBDA(_xlpm.r,OR(_xlpm.r))),FALSE)</f>
        <v>0</v>
      </c>
      <c r="AF219" s="43" t="b" cm="1">
        <f t="array" ref="AF219">IFERROR(_xlfn.BYROW(TRACK_TYPES[[#This Row],[TRACK_TYPE_NARROW_GAUGE_RAILTYPE_OHLE]:[TRACK_TYPE_NARROW_GAUGE_RAILTYPE_NONE]],_xlfn.LAMBDA(_xlpm.r,OR(_xlpm.r))),FALSE)</f>
        <v>0</v>
      </c>
      <c r="AG219" s="43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2937</v>
      </c>
      <c r="B220" s="45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43" t="b" cm="1">
        <f t="array" ref="AE220">IFERROR(_xlfn.BYROW(TRACK_TYPES[[#This Row],[TRACK_TYPE_STANDARD_GAUGE_RAILTYPE_OHLE]:[TRACK_TYPE_STANDARD_GAUGE_RAILTYPE_NONE]],_xlfn.LAMBDA(_xlpm.r,OR(_xlpm.r))),FALSE)</f>
        <v>0</v>
      </c>
      <c r="AF220" s="43" t="b" cm="1">
        <f t="array" ref="AF220">IFERROR(_xlfn.BYROW(TRACK_TYPES[[#This Row],[TRACK_TYPE_NARROW_GAUGE_RAILTYPE_OHLE]:[TRACK_TYPE_NARROW_GAUGE_RAILTYPE_NONE]],_xlfn.LAMBDA(_xlpm.r,OR(_xlpm.r))),FALSE)</f>
        <v>0</v>
      </c>
      <c r="AG220" s="43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2938</v>
      </c>
      <c r="B221" s="45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43" t="b" cm="1">
        <f t="array" ref="AE221">IFERROR(_xlfn.BYROW(TRACK_TYPES[[#This Row],[TRACK_TYPE_STANDARD_GAUGE_RAILTYPE_OHLE]:[TRACK_TYPE_STANDARD_GAUGE_RAILTYPE_NONE]],_xlfn.LAMBDA(_xlpm.r,OR(_xlpm.r))),FALSE)</f>
        <v>1</v>
      </c>
      <c r="AF221" s="43" t="b" cm="1">
        <f t="array" ref="AF221">IFERROR(_xlfn.BYROW(TRACK_TYPES[[#This Row],[TRACK_TYPE_NARROW_GAUGE_RAILTYPE_OHLE]:[TRACK_TYPE_NARROW_GAUGE_RAILTYPE_NONE]],_xlfn.LAMBDA(_xlpm.r,OR(_xlpm.r))),FALSE)</f>
        <v>0</v>
      </c>
      <c r="AG221" s="43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2939</v>
      </c>
      <c r="B222" s="45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43" t="b" cm="1">
        <f t="array" ref="AE222">IFERROR(_xlfn.BYROW(TRACK_TYPES[[#This Row],[TRACK_TYPE_STANDARD_GAUGE_RAILTYPE_OHLE]:[TRACK_TYPE_STANDARD_GAUGE_RAILTYPE_NONE]],_xlfn.LAMBDA(_xlpm.r,OR(_xlpm.r))),FALSE)</f>
        <v>1</v>
      </c>
      <c r="AF222" s="43" t="b" cm="1">
        <f t="array" ref="AF222">IFERROR(_xlfn.BYROW(TRACK_TYPES[[#This Row],[TRACK_TYPE_NARROW_GAUGE_RAILTYPE_OHLE]:[TRACK_TYPE_NARROW_GAUGE_RAILTYPE_NONE]],_xlfn.LAMBDA(_xlpm.r,OR(_xlpm.r))),FALSE)</f>
        <v>0</v>
      </c>
      <c r="AG222" s="43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2940</v>
      </c>
      <c r="B223" s="45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43" t="b" cm="1">
        <f t="array" ref="AE223">IFERROR(_xlfn.BYROW(TRACK_TYPES[[#This Row],[TRACK_TYPE_STANDARD_GAUGE_RAILTYPE_OHLE]:[TRACK_TYPE_STANDARD_GAUGE_RAILTYPE_NONE]],_xlfn.LAMBDA(_xlpm.r,OR(_xlpm.r))),FALSE)</f>
        <v>1</v>
      </c>
      <c r="AF223" s="43" t="b" cm="1">
        <f t="array" ref="AF223">IFERROR(_xlfn.BYROW(TRACK_TYPES[[#This Row],[TRACK_TYPE_NARROW_GAUGE_RAILTYPE_OHLE]:[TRACK_TYPE_NARROW_GAUGE_RAILTYPE_NONE]],_xlfn.LAMBDA(_xlpm.r,OR(_xlpm.r))),FALSE)</f>
        <v>0</v>
      </c>
      <c r="AG223" s="43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2941</v>
      </c>
      <c r="B224" s="45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43" t="b" cm="1">
        <f t="array" ref="AE224">IFERROR(_xlfn.BYROW(TRACK_TYPES[[#This Row],[TRACK_TYPE_STANDARD_GAUGE_RAILTYPE_OHLE]:[TRACK_TYPE_STANDARD_GAUGE_RAILTYPE_NONE]],_xlfn.LAMBDA(_xlpm.r,OR(_xlpm.r))),FALSE)</f>
        <v>1</v>
      </c>
      <c r="AF224" s="43" t="b" cm="1">
        <f t="array" ref="AF224">IFERROR(_xlfn.BYROW(TRACK_TYPES[[#This Row],[TRACK_TYPE_NARROW_GAUGE_RAILTYPE_OHLE]:[TRACK_TYPE_NARROW_GAUGE_RAILTYPE_NONE]],_xlfn.LAMBDA(_xlpm.r,OR(_xlpm.r))),FALSE)</f>
        <v>1</v>
      </c>
      <c r="AG224" s="43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>
      <c r="A225" s="2" t="s">
        <v>3524</v>
      </c>
      <c r="B225" s="45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43" t="b" cm="1">
        <f t="array" ref="AE225">IFERROR(_xlfn.BYROW(TRACK_TYPES[[#This Row],[TRACK_TYPE_STANDARD_GAUGE_RAILTYPE_OHLE]:[TRACK_TYPE_STANDARD_GAUGE_RAILTYPE_NONE]],_xlfn.LAMBDA(_xlpm.r,OR(_xlpm.r))),FALSE)</f>
        <v>1</v>
      </c>
      <c r="AF225" s="43" t="b" cm="1">
        <f t="array" ref="AF225">IFERROR(_xlfn.BYROW(TRACK_TYPES[[#This Row],[TRACK_TYPE_NARROW_GAUGE_RAILTYPE_OHLE]:[TRACK_TYPE_NARROW_GAUGE_RAILTYPE_NONE]],_xlfn.LAMBDA(_xlpm.r,OR(_xlpm.r))),FALSE)</f>
        <v>0</v>
      </c>
      <c r="AG225" s="43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2942</v>
      </c>
      <c r="B226" s="45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43" t="b" cm="1">
        <f t="array" ref="AE226">IFERROR(_xlfn.BYROW(TRACK_TYPES[[#This Row],[TRACK_TYPE_STANDARD_GAUGE_RAILTYPE_OHLE]:[TRACK_TYPE_STANDARD_GAUGE_RAILTYPE_NONE]],_xlfn.LAMBDA(_xlpm.r,OR(_xlpm.r))),FALSE)</f>
        <v>1</v>
      </c>
      <c r="AF226" s="43" t="b" cm="1">
        <f t="array" ref="AF226">IFERROR(_xlfn.BYROW(TRACK_TYPES[[#This Row],[TRACK_TYPE_NARROW_GAUGE_RAILTYPE_OHLE]:[TRACK_TYPE_NARROW_GAUGE_RAILTYPE_NONE]],_xlfn.LAMBDA(_xlpm.r,OR(_xlpm.r))),FALSE)</f>
        <v>0</v>
      </c>
      <c r="AG226" s="43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2943</v>
      </c>
      <c r="B227" s="45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43" t="b" cm="1">
        <f t="array" ref="AE227">IFERROR(_xlfn.BYROW(TRACK_TYPES[[#This Row],[TRACK_TYPE_STANDARD_GAUGE_RAILTYPE_OHLE]:[TRACK_TYPE_STANDARD_GAUGE_RAILTYPE_NONE]],_xlfn.LAMBDA(_xlpm.r,OR(_xlpm.r))),FALSE)</f>
        <v>1</v>
      </c>
      <c r="AF227" s="43" t="b" cm="1">
        <f t="array" ref="AF227">IFERROR(_xlfn.BYROW(TRACK_TYPES[[#This Row],[TRACK_TYPE_NARROW_GAUGE_RAILTYPE_OHLE]:[TRACK_TYPE_NARROW_GAUGE_RAILTYPE_NONE]],_xlfn.LAMBDA(_xlpm.r,OR(_xlpm.r))),FALSE)</f>
        <v>0</v>
      </c>
      <c r="AG227" s="43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2944</v>
      </c>
      <c r="B228" s="45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43" t="b" cm="1">
        <f t="array" ref="AE228">IFERROR(_xlfn.BYROW(TRACK_TYPES[[#This Row],[TRACK_TYPE_STANDARD_GAUGE_RAILTYPE_OHLE]:[TRACK_TYPE_STANDARD_GAUGE_RAILTYPE_NONE]],_xlfn.LAMBDA(_xlpm.r,OR(_xlpm.r))),FALSE)</f>
        <v>1</v>
      </c>
      <c r="AF228" s="43" t="b" cm="1">
        <f t="array" ref="AF228">IFERROR(_xlfn.BYROW(TRACK_TYPES[[#This Row],[TRACK_TYPE_NARROW_GAUGE_RAILTYPE_OHLE]:[TRACK_TYPE_NARROW_GAUGE_RAILTYPE_NONE]],_xlfn.LAMBDA(_xlpm.r,OR(_xlpm.r))),FALSE)</f>
        <v>0</v>
      </c>
      <c r="AG228" s="43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2945</v>
      </c>
      <c r="B229" s="45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43" t="b" cm="1">
        <f t="array" ref="AE229">IFERROR(_xlfn.BYROW(TRACK_TYPES[[#This Row],[TRACK_TYPE_STANDARD_GAUGE_RAILTYPE_OHLE]:[TRACK_TYPE_STANDARD_GAUGE_RAILTYPE_NONE]],_xlfn.LAMBDA(_xlpm.r,OR(_xlpm.r))),FALSE)</f>
        <v>0</v>
      </c>
      <c r="AF229" s="43" t="b" cm="1">
        <f t="array" ref="AF229">IFERROR(_xlfn.BYROW(TRACK_TYPES[[#This Row],[TRACK_TYPE_NARROW_GAUGE_RAILTYPE_OHLE]:[TRACK_TYPE_NARROW_GAUGE_RAILTYPE_NONE]],_xlfn.LAMBDA(_xlpm.r,OR(_xlpm.r))),FALSE)</f>
        <v>0</v>
      </c>
      <c r="AG229" s="43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2946</v>
      </c>
      <c r="B230" s="45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43" t="b" cm="1">
        <f t="array" ref="AE230">IFERROR(_xlfn.BYROW(TRACK_TYPES[[#This Row],[TRACK_TYPE_STANDARD_GAUGE_RAILTYPE_OHLE]:[TRACK_TYPE_STANDARD_GAUGE_RAILTYPE_NONE]],_xlfn.LAMBDA(_xlpm.r,OR(_xlpm.r))),FALSE)</f>
        <v>1</v>
      </c>
      <c r="AF230" s="43" t="b" cm="1">
        <f t="array" ref="AF230">IFERROR(_xlfn.BYROW(TRACK_TYPES[[#This Row],[TRACK_TYPE_NARROW_GAUGE_RAILTYPE_OHLE]:[TRACK_TYPE_NARROW_GAUGE_RAILTYPE_NONE]],_xlfn.LAMBDA(_xlpm.r,OR(_xlpm.r))),FALSE)</f>
        <v>0</v>
      </c>
      <c r="AG230" s="43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2947</v>
      </c>
      <c r="B231" s="45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43" t="b" cm="1">
        <f t="array" ref="AE231">IFERROR(_xlfn.BYROW(TRACK_TYPES[[#This Row],[TRACK_TYPE_STANDARD_GAUGE_RAILTYPE_OHLE]:[TRACK_TYPE_STANDARD_GAUGE_RAILTYPE_NONE]],_xlfn.LAMBDA(_xlpm.r,OR(_xlpm.r))),FALSE)</f>
        <v>1</v>
      </c>
      <c r="AF231" s="43" t="b" cm="1">
        <f t="array" ref="AF231">IFERROR(_xlfn.BYROW(TRACK_TYPES[[#This Row],[TRACK_TYPE_NARROW_GAUGE_RAILTYPE_OHLE]:[TRACK_TYPE_NARROW_GAUGE_RAILTYPE_NONE]],_xlfn.LAMBDA(_xlpm.r,OR(_xlpm.r))),FALSE)</f>
        <v>0</v>
      </c>
      <c r="AG231" s="43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2948</v>
      </c>
      <c r="B232" s="45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43" t="b" cm="1">
        <f t="array" ref="AE232">IFERROR(_xlfn.BYROW(TRACK_TYPES[[#This Row],[TRACK_TYPE_STANDARD_GAUGE_RAILTYPE_OHLE]:[TRACK_TYPE_STANDARD_GAUGE_RAILTYPE_NONE]],_xlfn.LAMBDA(_xlpm.r,OR(_xlpm.r))),FALSE)</f>
        <v>0</v>
      </c>
      <c r="AF232" s="43" t="b" cm="1">
        <f t="array" ref="AF232">IFERROR(_xlfn.BYROW(TRACK_TYPES[[#This Row],[TRACK_TYPE_NARROW_GAUGE_RAILTYPE_OHLE]:[TRACK_TYPE_NARROW_GAUGE_RAILTYPE_NONE]],_xlfn.LAMBDA(_xlpm.r,OR(_xlpm.r))),FALSE)</f>
        <v>0</v>
      </c>
      <c r="AG232" s="43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2949</v>
      </c>
      <c r="B233" s="45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43" t="b" cm="1">
        <f t="array" ref="AE233">IFERROR(_xlfn.BYROW(TRACK_TYPES[[#This Row],[TRACK_TYPE_STANDARD_GAUGE_RAILTYPE_OHLE]:[TRACK_TYPE_STANDARD_GAUGE_RAILTYPE_NONE]],_xlfn.LAMBDA(_xlpm.r,OR(_xlpm.r))),FALSE)</f>
        <v>1</v>
      </c>
      <c r="AF233" s="43" t="b" cm="1">
        <f t="array" ref="AF233">IFERROR(_xlfn.BYROW(TRACK_TYPES[[#This Row],[TRACK_TYPE_NARROW_GAUGE_RAILTYPE_OHLE]:[TRACK_TYPE_NARROW_GAUGE_RAILTYPE_NONE]],_xlfn.LAMBDA(_xlpm.r,OR(_xlpm.r))),FALSE)</f>
        <v>0</v>
      </c>
      <c r="AG233" s="43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2950</v>
      </c>
      <c r="B234" s="45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43" t="b" cm="1">
        <f t="array" ref="AE234">IFERROR(_xlfn.BYROW(TRACK_TYPES[[#This Row],[TRACK_TYPE_STANDARD_GAUGE_RAILTYPE_OHLE]:[TRACK_TYPE_STANDARD_GAUGE_RAILTYPE_NONE]],_xlfn.LAMBDA(_xlpm.r,OR(_xlpm.r))),FALSE)</f>
        <v>1</v>
      </c>
      <c r="AF234" s="43" t="b" cm="1">
        <f t="array" ref="AF234">IFERROR(_xlfn.BYROW(TRACK_TYPES[[#This Row],[TRACK_TYPE_NARROW_GAUGE_RAILTYPE_OHLE]:[TRACK_TYPE_NARROW_GAUGE_RAILTYPE_NONE]],_xlfn.LAMBDA(_xlpm.r,OR(_xlpm.r))),FALSE)</f>
        <v>0</v>
      </c>
      <c r="AG234" s="43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2951</v>
      </c>
      <c r="B235" s="45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43" t="b" cm="1">
        <f t="array" ref="AE235">IFERROR(_xlfn.BYROW(TRACK_TYPES[[#This Row],[TRACK_TYPE_STANDARD_GAUGE_RAILTYPE_OHLE]:[TRACK_TYPE_STANDARD_GAUGE_RAILTYPE_NONE]],_xlfn.LAMBDA(_xlpm.r,OR(_xlpm.r))),FALSE)</f>
        <v>0</v>
      </c>
      <c r="AF235" s="43" t="b" cm="1">
        <f t="array" ref="AF235">IFERROR(_xlfn.BYROW(TRACK_TYPES[[#This Row],[TRACK_TYPE_NARROW_GAUGE_RAILTYPE_OHLE]:[TRACK_TYPE_NARROW_GAUGE_RAILTYPE_NONE]],_xlfn.LAMBDA(_xlpm.r,OR(_xlpm.r))),FALSE)</f>
        <v>0</v>
      </c>
      <c r="AG235" s="43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2952</v>
      </c>
      <c r="B236" s="45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43" t="b" cm="1">
        <f t="array" ref="AE236">IFERROR(_xlfn.BYROW(TRACK_TYPES[[#This Row],[TRACK_TYPE_STANDARD_GAUGE_RAILTYPE_OHLE]:[TRACK_TYPE_STANDARD_GAUGE_RAILTYPE_NONE]],_xlfn.LAMBDA(_xlpm.r,OR(_xlpm.r))),FALSE)</f>
        <v>1</v>
      </c>
      <c r="AF236" s="43" t="b" cm="1">
        <f t="array" ref="AF236">IFERROR(_xlfn.BYROW(TRACK_TYPES[[#This Row],[TRACK_TYPE_NARROW_GAUGE_RAILTYPE_OHLE]:[TRACK_TYPE_NARROW_GAUGE_RAILTYPE_NONE]],_xlfn.LAMBDA(_xlpm.r,OR(_xlpm.r))),FALSE)</f>
        <v>0</v>
      </c>
      <c r="AG236" s="43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2953</v>
      </c>
      <c r="B237" s="45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43" t="b" cm="1">
        <f t="array" ref="AE237">IFERROR(_xlfn.BYROW(TRACK_TYPES[[#This Row],[TRACK_TYPE_STANDARD_GAUGE_RAILTYPE_OHLE]:[TRACK_TYPE_STANDARD_GAUGE_RAILTYPE_NONE]],_xlfn.LAMBDA(_xlpm.r,OR(_xlpm.r))),FALSE)</f>
        <v>1</v>
      </c>
      <c r="AF237" s="43" t="b" cm="1">
        <f t="array" ref="AF237">IFERROR(_xlfn.BYROW(TRACK_TYPES[[#This Row],[TRACK_TYPE_NARROW_GAUGE_RAILTYPE_OHLE]:[TRACK_TYPE_NARROW_GAUGE_RAILTYPE_NONE]],_xlfn.LAMBDA(_xlpm.r,OR(_xlpm.r))),FALSE)</f>
        <v>0</v>
      </c>
      <c r="AG237" s="43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2954</v>
      </c>
      <c r="B238" s="45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43" t="b" cm="1">
        <f t="array" ref="AE238">IFERROR(_xlfn.BYROW(TRACK_TYPES[[#This Row],[TRACK_TYPE_STANDARD_GAUGE_RAILTYPE_OHLE]:[TRACK_TYPE_STANDARD_GAUGE_RAILTYPE_NONE]],_xlfn.LAMBDA(_xlpm.r,OR(_xlpm.r))),FALSE)</f>
        <v>1</v>
      </c>
      <c r="AF238" s="43" t="b" cm="1">
        <f t="array" ref="AF238">IFERROR(_xlfn.BYROW(TRACK_TYPES[[#This Row],[TRACK_TYPE_NARROW_GAUGE_RAILTYPE_OHLE]:[TRACK_TYPE_NARROW_GAUGE_RAILTYPE_NONE]],_xlfn.LAMBDA(_xlpm.r,OR(_xlpm.r))),FALSE)</f>
        <v>0</v>
      </c>
      <c r="AG238" s="43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2955</v>
      </c>
      <c r="B239" s="45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43" t="b" cm="1">
        <f t="array" ref="AE239">IFERROR(_xlfn.BYROW(TRACK_TYPES[[#This Row],[TRACK_TYPE_STANDARD_GAUGE_RAILTYPE_OHLE]:[TRACK_TYPE_STANDARD_GAUGE_RAILTYPE_NONE]],_xlfn.LAMBDA(_xlpm.r,OR(_xlpm.r))),FALSE)</f>
        <v>1</v>
      </c>
      <c r="AF239" s="43" t="b" cm="1">
        <f t="array" ref="AF239">IFERROR(_xlfn.BYROW(TRACK_TYPES[[#This Row],[TRACK_TYPE_NARROW_GAUGE_RAILTYPE_OHLE]:[TRACK_TYPE_NARROW_GAUGE_RAILTYPE_NONE]],_xlfn.LAMBDA(_xlpm.r,OR(_xlpm.r))),FALSE)</f>
        <v>0</v>
      </c>
      <c r="AG239" s="43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2956</v>
      </c>
      <c r="B240" s="45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43" t="b" cm="1">
        <f t="array" ref="AE240">IFERROR(_xlfn.BYROW(TRACK_TYPES[[#This Row],[TRACK_TYPE_STANDARD_GAUGE_RAILTYPE_OHLE]:[TRACK_TYPE_STANDARD_GAUGE_RAILTYPE_NONE]],_xlfn.LAMBDA(_xlpm.r,OR(_xlpm.r))),FALSE)</f>
        <v>1</v>
      </c>
      <c r="AF240" s="43" t="b" cm="1">
        <f t="array" ref="AF240">IFERROR(_xlfn.BYROW(TRACK_TYPES[[#This Row],[TRACK_TYPE_NARROW_GAUGE_RAILTYPE_OHLE]:[TRACK_TYPE_NARROW_GAUGE_RAILTYPE_NONE]],_xlfn.LAMBDA(_xlpm.r,OR(_xlpm.r))),FALSE)</f>
        <v>0</v>
      </c>
      <c r="AG240" s="43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2957</v>
      </c>
      <c r="B241" s="45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43" t="b" cm="1">
        <f t="array" ref="AE241">IFERROR(_xlfn.BYROW(TRACK_TYPES[[#This Row],[TRACK_TYPE_STANDARD_GAUGE_RAILTYPE_OHLE]:[TRACK_TYPE_STANDARD_GAUGE_RAILTYPE_NONE]],_xlfn.LAMBDA(_xlpm.r,OR(_xlpm.r))),FALSE)</f>
        <v>0</v>
      </c>
      <c r="AF241" s="43" t="b" cm="1">
        <f t="array" ref="AF241">IFERROR(_xlfn.BYROW(TRACK_TYPES[[#This Row],[TRACK_TYPE_NARROW_GAUGE_RAILTYPE_OHLE]:[TRACK_TYPE_NARROW_GAUGE_RAILTYPE_NONE]],_xlfn.LAMBDA(_xlpm.r,OR(_xlpm.r))),FALSE)</f>
        <v>1</v>
      </c>
      <c r="AG241" s="43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2958</v>
      </c>
      <c r="B242" s="45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43" t="b" cm="1">
        <f t="array" ref="AE242">IFERROR(_xlfn.BYROW(TRACK_TYPES[[#This Row],[TRACK_TYPE_STANDARD_GAUGE_RAILTYPE_OHLE]:[TRACK_TYPE_STANDARD_GAUGE_RAILTYPE_NONE]],_xlfn.LAMBDA(_xlpm.r,OR(_xlpm.r))),FALSE)</f>
        <v>1</v>
      </c>
      <c r="AF242" s="43" t="b" cm="1">
        <f t="array" ref="AF242">IFERROR(_xlfn.BYROW(TRACK_TYPES[[#This Row],[TRACK_TYPE_NARROW_GAUGE_RAILTYPE_OHLE]:[TRACK_TYPE_NARROW_GAUGE_RAILTYPE_NONE]],_xlfn.LAMBDA(_xlpm.r,OR(_xlpm.r))),FALSE)</f>
        <v>0</v>
      </c>
      <c r="AG242" s="43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2959</v>
      </c>
      <c r="B243" s="45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43" t="b" cm="1">
        <f t="array" ref="AE243">IFERROR(_xlfn.BYROW(TRACK_TYPES[[#This Row],[TRACK_TYPE_STANDARD_GAUGE_RAILTYPE_OHLE]:[TRACK_TYPE_STANDARD_GAUGE_RAILTYPE_NONE]],_xlfn.LAMBDA(_xlpm.r,OR(_xlpm.r))),FALSE)</f>
        <v>1</v>
      </c>
      <c r="AF243" s="43" t="b" cm="1">
        <f t="array" ref="AF243">IFERROR(_xlfn.BYROW(TRACK_TYPES[[#This Row],[TRACK_TYPE_NARROW_GAUGE_RAILTYPE_OHLE]:[TRACK_TYPE_NARROW_GAUGE_RAILTYPE_NONE]],_xlfn.LAMBDA(_xlpm.r,OR(_xlpm.r))),FALSE)</f>
        <v>0</v>
      </c>
      <c r="AG243" s="43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2960</v>
      </c>
      <c r="B244" s="45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43" t="b" cm="1">
        <f t="array" ref="AE244">IFERROR(_xlfn.BYROW(TRACK_TYPES[[#This Row],[TRACK_TYPE_STANDARD_GAUGE_RAILTYPE_OHLE]:[TRACK_TYPE_STANDARD_GAUGE_RAILTYPE_NONE]],_xlfn.LAMBDA(_xlpm.r,OR(_xlpm.r))),FALSE)</f>
        <v>0</v>
      </c>
      <c r="AF244" s="43" t="b" cm="1">
        <f t="array" ref="AF244">IFERROR(_xlfn.BYROW(TRACK_TYPES[[#This Row],[TRACK_TYPE_NARROW_GAUGE_RAILTYPE_OHLE]:[TRACK_TYPE_NARROW_GAUGE_RAILTYPE_NONE]],_xlfn.LAMBDA(_xlpm.r,OR(_xlpm.r))),FALSE)</f>
        <v>0</v>
      </c>
      <c r="AG244" s="43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2961</v>
      </c>
      <c r="B245" s="45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43" t="b" cm="1">
        <f t="array" ref="AE245">IFERROR(_xlfn.BYROW(TRACK_TYPES[[#This Row],[TRACK_TYPE_STANDARD_GAUGE_RAILTYPE_OHLE]:[TRACK_TYPE_STANDARD_GAUGE_RAILTYPE_NONE]],_xlfn.LAMBDA(_xlpm.r,OR(_xlpm.r))),FALSE)</f>
        <v>1</v>
      </c>
      <c r="AF245" s="43" t="b" cm="1">
        <f t="array" ref="AF245">IFERROR(_xlfn.BYROW(TRACK_TYPES[[#This Row],[TRACK_TYPE_NARROW_GAUGE_RAILTYPE_OHLE]:[TRACK_TYPE_NARROW_GAUGE_RAILTYPE_NONE]],_xlfn.LAMBDA(_xlpm.r,OR(_xlpm.r))),FALSE)</f>
        <v>1</v>
      </c>
      <c r="AG245" s="43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2962</v>
      </c>
      <c r="B246" s="45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43" t="b" cm="1">
        <f t="array" ref="AE246">IFERROR(_xlfn.BYROW(TRACK_TYPES[[#This Row],[TRACK_TYPE_STANDARD_GAUGE_RAILTYPE_OHLE]:[TRACK_TYPE_STANDARD_GAUGE_RAILTYPE_NONE]],_xlfn.LAMBDA(_xlpm.r,OR(_xlpm.r))),FALSE)</f>
        <v>1</v>
      </c>
      <c r="AF246" s="43" t="b" cm="1">
        <f t="array" ref="AF246">IFERROR(_xlfn.BYROW(TRACK_TYPES[[#This Row],[TRACK_TYPE_NARROW_GAUGE_RAILTYPE_OHLE]:[TRACK_TYPE_NARROW_GAUGE_RAILTYPE_NONE]],_xlfn.LAMBDA(_xlpm.r,OR(_xlpm.r))),FALSE)</f>
        <v>0</v>
      </c>
      <c r="AG246" s="43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2963</v>
      </c>
      <c r="B247" s="45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43" t="b" cm="1">
        <f t="array" ref="AE247">IFERROR(_xlfn.BYROW(TRACK_TYPES[[#This Row],[TRACK_TYPE_STANDARD_GAUGE_RAILTYPE_OHLE]:[TRACK_TYPE_STANDARD_GAUGE_RAILTYPE_NONE]],_xlfn.LAMBDA(_xlpm.r,OR(_xlpm.r))),FALSE)</f>
        <v>0</v>
      </c>
      <c r="AF247" s="43" t="b" cm="1">
        <f t="array" ref="AF247">IFERROR(_xlfn.BYROW(TRACK_TYPES[[#This Row],[TRACK_TYPE_NARROW_GAUGE_RAILTYPE_OHLE]:[TRACK_TYPE_NARROW_GAUGE_RAILTYPE_NONE]],_xlfn.LAMBDA(_xlpm.r,OR(_xlpm.r))),FALSE)</f>
        <v>0</v>
      </c>
      <c r="AG247" s="43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2964</v>
      </c>
      <c r="B248" s="45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43" t="b" cm="1">
        <f t="array" ref="AE248">IFERROR(_xlfn.BYROW(TRACK_TYPES[[#This Row],[TRACK_TYPE_STANDARD_GAUGE_RAILTYPE_OHLE]:[TRACK_TYPE_STANDARD_GAUGE_RAILTYPE_NONE]],_xlfn.LAMBDA(_xlpm.r,OR(_xlpm.r))),FALSE)</f>
        <v>1</v>
      </c>
      <c r="AF248" s="43" t="b" cm="1">
        <f t="array" ref="AF248">IFERROR(_xlfn.BYROW(TRACK_TYPES[[#This Row],[TRACK_TYPE_NARROW_GAUGE_RAILTYPE_OHLE]:[TRACK_TYPE_NARROW_GAUGE_RAILTYPE_NONE]],_xlfn.LAMBDA(_xlpm.r,OR(_xlpm.r))),FALSE)</f>
        <v>1</v>
      </c>
      <c r="AG248" s="43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>
      <c r="A249" s="2" t="s">
        <v>2965</v>
      </c>
      <c r="B249" s="45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43" t="b" cm="1">
        <f t="array" ref="AE249">IFERROR(_xlfn.BYROW(TRACK_TYPES[[#This Row],[TRACK_TYPE_STANDARD_GAUGE_RAILTYPE_OHLE]:[TRACK_TYPE_STANDARD_GAUGE_RAILTYPE_NONE]],_xlfn.LAMBDA(_xlpm.r,OR(_xlpm.r))),FALSE)</f>
        <v>0</v>
      </c>
      <c r="AF249" s="43" t="b" cm="1">
        <f t="array" ref="AF249">IFERROR(_xlfn.BYROW(TRACK_TYPES[[#This Row],[TRACK_TYPE_NARROW_GAUGE_RAILTYPE_OHLE]:[TRACK_TYPE_NARROW_GAUGE_RAILTYPE_NONE]],_xlfn.LAMBDA(_xlpm.r,OR(_xlpm.r))),FALSE)</f>
        <v>0</v>
      </c>
      <c r="AG249" s="43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2966</v>
      </c>
      <c r="B250" s="45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43" t="b" cm="1">
        <f t="array" ref="AE250">IFERROR(_xlfn.BYROW(TRACK_TYPES[[#This Row],[TRACK_TYPE_STANDARD_GAUGE_RAILTYPE_OHLE]:[TRACK_TYPE_STANDARD_GAUGE_RAILTYPE_NONE]],_xlfn.LAMBDA(_xlpm.r,OR(_xlpm.r))),FALSE)</f>
        <v>1</v>
      </c>
      <c r="AF250" s="43" t="b" cm="1">
        <f t="array" ref="AF250">IFERROR(_xlfn.BYROW(TRACK_TYPES[[#This Row],[TRACK_TYPE_NARROW_GAUGE_RAILTYPE_OHLE]:[TRACK_TYPE_NARROW_GAUGE_RAILTYPE_NONE]],_xlfn.LAMBDA(_xlpm.r,OR(_xlpm.r))),FALSE)</f>
        <v>0</v>
      </c>
      <c r="AG250" s="43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2967</v>
      </c>
      <c r="B251" s="45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43" t="b" cm="1">
        <f t="array" ref="AE251">IFERROR(_xlfn.BYROW(TRACK_TYPES[[#This Row],[TRACK_TYPE_STANDARD_GAUGE_RAILTYPE_OHLE]:[TRACK_TYPE_STANDARD_GAUGE_RAILTYPE_NONE]],_xlfn.LAMBDA(_xlpm.r,OR(_xlpm.r))),FALSE)</f>
        <v>1</v>
      </c>
      <c r="AF251" s="43" t="b" cm="1">
        <f t="array" ref="AF251">IFERROR(_xlfn.BYROW(TRACK_TYPES[[#This Row],[TRACK_TYPE_NARROW_GAUGE_RAILTYPE_OHLE]:[TRACK_TYPE_NARROW_GAUGE_RAILTYPE_NONE]],_xlfn.LAMBDA(_xlpm.r,OR(_xlpm.r))),FALSE)</f>
        <v>0</v>
      </c>
      <c r="AG251" s="43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2968</v>
      </c>
      <c r="B252" s="45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43" t="b" cm="1">
        <f t="array" ref="AE252">IFERROR(_xlfn.BYROW(TRACK_TYPES[[#This Row],[TRACK_TYPE_STANDARD_GAUGE_RAILTYPE_OHLE]:[TRACK_TYPE_STANDARD_GAUGE_RAILTYPE_NONE]],_xlfn.LAMBDA(_xlpm.r,OR(_xlpm.r))),FALSE)</f>
        <v>0</v>
      </c>
      <c r="AF252" s="43" t="b" cm="1">
        <f t="array" ref="AF252">IFERROR(_xlfn.BYROW(TRACK_TYPES[[#This Row],[TRACK_TYPE_NARROW_GAUGE_RAILTYPE_OHLE]:[TRACK_TYPE_NARROW_GAUGE_RAILTYPE_NONE]],_xlfn.LAMBDA(_xlpm.r,OR(_xlpm.r))),FALSE)</f>
        <v>1</v>
      </c>
      <c r="AG252" s="43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2969</v>
      </c>
      <c r="B253" s="45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43" t="b" cm="1">
        <f t="array" ref="AE253">IFERROR(_xlfn.BYROW(TRACK_TYPES[[#This Row],[TRACK_TYPE_STANDARD_GAUGE_RAILTYPE_OHLE]:[TRACK_TYPE_STANDARD_GAUGE_RAILTYPE_NONE]],_xlfn.LAMBDA(_xlpm.r,OR(_xlpm.r))),FALSE)</f>
        <v>1</v>
      </c>
      <c r="AF253" s="43" t="b" cm="1">
        <f t="array" ref="AF253">IFERROR(_xlfn.BYROW(TRACK_TYPES[[#This Row],[TRACK_TYPE_NARROW_GAUGE_RAILTYPE_OHLE]:[TRACK_TYPE_NARROW_GAUGE_RAILTYPE_NONE]],_xlfn.LAMBDA(_xlpm.r,OR(_xlpm.r))),FALSE)</f>
        <v>0</v>
      </c>
      <c r="AG253" s="43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2970</v>
      </c>
      <c r="B254" s="45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43" t="b" cm="1">
        <f t="array" ref="AE254">IFERROR(_xlfn.BYROW(TRACK_TYPES[[#This Row],[TRACK_TYPE_STANDARD_GAUGE_RAILTYPE_OHLE]:[TRACK_TYPE_STANDARD_GAUGE_RAILTYPE_NONE]],_xlfn.LAMBDA(_xlpm.r,OR(_xlpm.r))),FALSE)</f>
        <v>1</v>
      </c>
      <c r="AF254" s="43" t="b" cm="1">
        <f t="array" ref="AF254">IFERROR(_xlfn.BYROW(TRACK_TYPES[[#This Row],[TRACK_TYPE_NARROW_GAUGE_RAILTYPE_OHLE]:[TRACK_TYPE_NARROW_GAUGE_RAILTYPE_NONE]],_xlfn.LAMBDA(_xlpm.r,OR(_xlpm.r))),FALSE)</f>
        <v>0</v>
      </c>
      <c r="AG254" s="43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2971</v>
      </c>
      <c r="B255" s="45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43" t="b" cm="1">
        <f t="array" ref="AE255">IFERROR(_xlfn.BYROW(TRACK_TYPES[[#This Row],[TRACK_TYPE_STANDARD_GAUGE_RAILTYPE_OHLE]:[TRACK_TYPE_STANDARD_GAUGE_RAILTYPE_NONE]],_xlfn.LAMBDA(_xlpm.r,OR(_xlpm.r))),FALSE)</f>
        <v>1</v>
      </c>
      <c r="AF255" s="43" t="b" cm="1">
        <f t="array" ref="AF255">IFERROR(_xlfn.BYROW(TRACK_TYPES[[#This Row],[TRACK_TYPE_NARROW_GAUGE_RAILTYPE_OHLE]:[TRACK_TYPE_NARROW_GAUGE_RAILTYPE_NONE]],_xlfn.LAMBDA(_xlpm.r,OR(_xlpm.r))),FALSE)</f>
        <v>0</v>
      </c>
      <c r="AG255" s="43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2972</v>
      </c>
      <c r="B256" s="45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43" t="b" cm="1">
        <f t="array" ref="AE256">IFERROR(_xlfn.BYROW(TRACK_TYPES[[#This Row],[TRACK_TYPE_STANDARD_GAUGE_RAILTYPE_OHLE]:[TRACK_TYPE_STANDARD_GAUGE_RAILTYPE_NONE]],_xlfn.LAMBDA(_xlpm.r,OR(_xlpm.r))),FALSE)</f>
        <v>1</v>
      </c>
      <c r="AF256" s="43" t="b" cm="1">
        <f t="array" ref="AF256">IFERROR(_xlfn.BYROW(TRACK_TYPES[[#This Row],[TRACK_TYPE_NARROW_GAUGE_RAILTYPE_OHLE]:[TRACK_TYPE_NARROW_GAUGE_RAILTYPE_NONE]],_xlfn.LAMBDA(_xlpm.r,OR(_xlpm.r))),FALSE)</f>
        <v>0</v>
      </c>
      <c r="AG256" s="43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3533</v>
      </c>
      <c r="B257" s="45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43" t="b" cm="1">
        <f t="array" ref="AE257">IFERROR(_xlfn.BYROW(TRACK_TYPES[[#This Row],[TRACK_TYPE_STANDARD_GAUGE_RAILTYPE_OHLE]:[TRACK_TYPE_STANDARD_GAUGE_RAILTYPE_NONE]],_xlfn.LAMBDA(_xlpm.r,OR(_xlpm.r))),FALSE)</f>
        <v>1</v>
      </c>
      <c r="AF257" s="43" t="b" cm="1">
        <f t="array" ref="AF257">IFERROR(_xlfn.BYROW(TRACK_TYPES[[#This Row],[TRACK_TYPE_NARROW_GAUGE_RAILTYPE_OHLE]:[TRACK_TYPE_NARROW_GAUGE_RAILTYPE_NONE]],_xlfn.LAMBDA(_xlpm.r,OR(_xlpm.r))),FALSE)</f>
        <v>0</v>
      </c>
      <c r="AG257" s="43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2973</v>
      </c>
      <c r="B258" s="45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43" t="b" cm="1">
        <f t="array" ref="AE258">IFERROR(_xlfn.BYROW(TRACK_TYPES[[#This Row],[TRACK_TYPE_STANDARD_GAUGE_RAILTYPE_OHLE]:[TRACK_TYPE_STANDARD_GAUGE_RAILTYPE_NONE]],_xlfn.LAMBDA(_xlpm.r,OR(_xlpm.r))),FALSE)</f>
        <v>1</v>
      </c>
      <c r="AF258" s="43" t="b" cm="1">
        <f t="array" ref="AF258">IFERROR(_xlfn.BYROW(TRACK_TYPES[[#This Row],[TRACK_TYPE_NARROW_GAUGE_RAILTYPE_OHLE]:[TRACK_TYPE_NARROW_GAUGE_RAILTYPE_NONE]],_xlfn.LAMBDA(_xlpm.r,OR(_xlpm.r))),FALSE)</f>
        <v>0</v>
      </c>
      <c r="AG258" s="43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2974</v>
      </c>
      <c r="B259" s="45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43" t="b" cm="1">
        <f t="array" ref="AE259">IFERROR(_xlfn.BYROW(TRACK_TYPES[[#This Row],[TRACK_TYPE_STANDARD_GAUGE_RAILTYPE_OHLE]:[TRACK_TYPE_STANDARD_GAUGE_RAILTYPE_NONE]],_xlfn.LAMBDA(_xlpm.r,OR(_xlpm.r))),FALSE)</f>
        <v>0</v>
      </c>
      <c r="AF259" s="43" t="b" cm="1">
        <f t="array" ref="AF259">IFERROR(_xlfn.BYROW(TRACK_TYPES[[#This Row],[TRACK_TYPE_NARROW_GAUGE_RAILTYPE_OHLE]:[TRACK_TYPE_NARROW_GAUGE_RAILTYPE_NONE]],_xlfn.LAMBDA(_xlpm.r,OR(_xlpm.r))),FALSE)</f>
        <v>1</v>
      </c>
      <c r="AG259" s="43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2975</v>
      </c>
      <c r="B260" s="45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43" t="b" cm="1">
        <f t="array" ref="AE260">IFERROR(_xlfn.BYROW(TRACK_TYPES[[#This Row],[TRACK_TYPE_STANDARD_GAUGE_RAILTYPE_OHLE]:[TRACK_TYPE_STANDARD_GAUGE_RAILTYPE_NONE]],_xlfn.LAMBDA(_xlpm.r,OR(_xlpm.r))),FALSE)</f>
        <v>0</v>
      </c>
      <c r="AF260" s="43" t="b" cm="1">
        <f t="array" ref="AF260">IFERROR(_xlfn.BYROW(TRACK_TYPES[[#This Row],[TRACK_TYPE_NARROW_GAUGE_RAILTYPE_OHLE]:[TRACK_TYPE_NARROW_GAUGE_RAILTYPE_NONE]],_xlfn.LAMBDA(_xlpm.r,OR(_xlpm.r))),FALSE)</f>
        <v>0</v>
      </c>
      <c r="AG260" s="43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2976</v>
      </c>
      <c r="B261" s="45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43" t="b" cm="1">
        <f t="array" ref="AE261">IFERROR(_xlfn.BYROW(TRACK_TYPES[[#This Row],[TRACK_TYPE_STANDARD_GAUGE_RAILTYPE_OHLE]:[TRACK_TYPE_STANDARD_GAUGE_RAILTYPE_NONE]],_xlfn.LAMBDA(_xlpm.r,OR(_xlpm.r))),FALSE)</f>
        <v>0</v>
      </c>
      <c r="AF261" s="43" t="b" cm="1">
        <f t="array" ref="AF261">IFERROR(_xlfn.BYROW(TRACK_TYPES[[#This Row],[TRACK_TYPE_NARROW_GAUGE_RAILTYPE_OHLE]:[TRACK_TYPE_NARROW_GAUGE_RAILTYPE_NONE]],_xlfn.LAMBDA(_xlpm.r,OR(_xlpm.r))),FALSE)</f>
        <v>0</v>
      </c>
      <c r="AG261" s="43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2977</v>
      </c>
      <c r="B262" s="45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43" t="b" cm="1">
        <f t="array" ref="AE262">IFERROR(_xlfn.BYROW(TRACK_TYPES[[#This Row],[TRACK_TYPE_STANDARD_GAUGE_RAILTYPE_OHLE]:[TRACK_TYPE_STANDARD_GAUGE_RAILTYPE_NONE]],_xlfn.LAMBDA(_xlpm.r,OR(_xlpm.r))),FALSE)</f>
        <v>1</v>
      </c>
      <c r="AF262" s="43" t="b" cm="1">
        <f t="array" ref="AF262">IFERROR(_xlfn.BYROW(TRACK_TYPES[[#This Row],[TRACK_TYPE_NARROW_GAUGE_RAILTYPE_OHLE]:[TRACK_TYPE_NARROW_GAUGE_RAILTYPE_NONE]],_xlfn.LAMBDA(_xlpm.r,OR(_xlpm.r))),FALSE)</f>
        <v>0</v>
      </c>
      <c r="AG262" s="43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2978</v>
      </c>
      <c r="B263" s="45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43" t="b" cm="1">
        <f t="array" ref="AE263">IFERROR(_xlfn.BYROW(TRACK_TYPES[[#This Row],[TRACK_TYPE_STANDARD_GAUGE_RAILTYPE_OHLE]:[TRACK_TYPE_STANDARD_GAUGE_RAILTYPE_NONE]],_xlfn.LAMBDA(_xlpm.r,OR(_xlpm.r))),FALSE)</f>
        <v>1</v>
      </c>
      <c r="AF263" s="43" t="b" cm="1">
        <f t="array" ref="AF263">IFERROR(_xlfn.BYROW(TRACK_TYPES[[#This Row],[TRACK_TYPE_NARROW_GAUGE_RAILTYPE_OHLE]:[TRACK_TYPE_NARROW_GAUGE_RAILTYPE_NONE]],_xlfn.LAMBDA(_xlpm.r,OR(_xlpm.r))),FALSE)</f>
        <v>0</v>
      </c>
      <c r="AG263" s="43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2979</v>
      </c>
      <c r="B264" s="45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43" t="b" cm="1">
        <f t="array" ref="AE264">IFERROR(_xlfn.BYROW(TRACK_TYPES[[#This Row],[TRACK_TYPE_STANDARD_GAUGE_RAILTYPE_OHLE]:[TRACK_TYPE_STANDARD_GAUGE_RAILTYPE_NONE]],_xlfn.LAMBDA(_xlpm.r,OR(_xlpm.r))),FALSE)</f>
        <v>1</v>
      </c>
      <c r="AF264" s="43" t="b" cm="1">
        <f t="array" ref="AF264">IFERROR(_xlfn.BYROW(TRACK_TYPES[[#This Row],[TRACK_TYPE_NARROW_GAUGE_RAILTYPE_OHLE]:[TRACK_TYPE_NARROW_GAUGE_RAILTYPE_NONE]],_xlfn.LAMBDA(_xlpm.r,OR(_xlpm.r))),FALSE)</f>
        <v>0</v>
      </c>
      <c r="AG264" s="43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2980</v>
      </c>
      <c r="B265" s="45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43" t="b" cm="1">
        <f t="array" ref="AE265">IFERROR(_xlfn.BYROW(TRACK_TYPES[[#This Row],[TRACK_TYPE_STANDARD_GAUGE_RAILTYPE_OHLE]:[TRACK_TYPE_STANDARD_GAUGE_RAILTYPE_NONE]],_xlfn.LAMBDA(_xlpm.r,OR(_xlpm.r))),FALSE)</f>
        <v>1</v>
      </c>
      <c r="AF265" s="43" t="b" cm="1">
        <f t="array" ref="AF265">IFERROR(_xlfn.BYROW(TRACK_TYPES[[#This Row],[TRACK_TYPE_NARROW_GAUGE_RAILTYPE_OHLE]:[TRACK_TYPE_NARROW_GAUGE_RAILTYPE_NONE]],_xlfn.LAMBDA(_xlpm.r,OR(_xlpm.r))),FALSE)</f>
        <v>0</v>
      </c>
      <c r="AG265" s="43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3552</v>
      </c>
      <c r="B266" s="45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43" t="b" cm="1">
        <f t="array" ref="AE266">IFERROR(_xlfn.BYROW(TRACK_TYPES[[#This Row],[TRACK_TYPE_STANDARD_GAUGE_RAILTYPE_OHLE]:[TRACK_TYPE_STANDARD_GAUGE_RAILTYPE_NONE]],_xlfn.LAMBDA(_xlpm.r,OR(_xlpm.r))),FALSE)</f>
        <v>0</v>
      </c>
      <c r="AF266" s="43" t="b" cm="1">
        <f t="array" ref="AF266">IFERROR(_xlfn.BYROW(TRACK_TYPES[[#This Row],[TRACK_TYPE_NARROW_GAUGE_RAILTYPE_OHLE]:[TRACK_TYPE_NARROW_GAUGE_RAILTYPE_NONE]],_xlfn.LAMBDA(_xlpm.r,OR(_xlpm.r))),FALSE)</f>
        <v>0</v>
      </c>
      <c r="AG266" s="43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2981</v>
      </c>
      <c r="B267" s="45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43" t="b" cm="1">
        <f t="array" ref="AE267">IFERROR(_xlfn.BYROW(TRACK_TYPES[[#This Row],[TRACK_TYPE_STANDARD_GAUGE_RAILTYPE_OHLE]:[TRACK_TYPE_STANDARD_GAUGE_RAILTYPE_NONE]],_xlfn.LAMBDA(_xlpm.r,OR(_xlpm.r))),FALSE)</f>
        <v>0</v>
      </c>
      <c r="AF267" s="43" t="b" cm="1">
        <f t="array" ref="AF267">IFERROR(_xlfn.BYROW(TRACK_TYPES[[#This Row],[TRACK_TYPE_NARROW_GAUGE_RAILTYPE_OHLE]:[TRACK_TYPE_NARROW_GAUGE_RAILTYPE_NONE]],_xlfn.LAMBDA(_xlpm.r,OR(_xlpm.r))),FALSE)</f>
        <v>1</v>
      </c>
      <c r="AG267" s="43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2982</v>
      </c>
      <c r="B268" s="45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43" t="b" cm="1">
        <f t="array" ref="AE268">IFERROR(_xlfn.BYROW(TRACK_TYPES[[#This Row],[TRACK_TYPE_STANDARD_GAUGE_RAILTYPE_OHLE]:[TRACK_TYPE_STANDARD_GAUGE_RAILTYPE_NONE]],_xlfn.LAMBDA(_xlpm.r,OR(_xlpm.r))),FALSE)</f>
        <v>0</v>
      </c>
      <c r="AF268" s="43" t="b" cm="1">
        <f t="array" ref="AF268">IFERROR(_xlfn.BYROW(TRACK_TYPES[[#This Row],[TRACK_TYPE_NARROW_GAUGE_RAILTYPE_OHLE]:[TRACK_TYPE_NARROW_GAUGE_RAILTYPE_NONE]],_xlfn.LAMBDA(_xlpm.r,OR(_xlpm.r))),FALSE)</f>
        <v>0</v>
      </c>
      <c r="AG268" s="43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2983</v>
      </c>
      <c r="B269" s="45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43" t="b" cm="1">
        <f t="array" ref="AE269">IFERROR(_xlfn.BYROW(TRACK_TYPES[[#This Row],[TRACK_TYPE_STANDARD_GAUGE_RAILTYPE_OHLE]:[TRACK_TYPE_STANDARD_GAUGE_RAILTYPE_NONE]],_xlfn.LAMBDA(_xlpm.r,OR(_xlpm.r))),FALSE)</f>
        <v>0</v>
      </c>
      <c r="AF269" s="43" t="b" cm="1">
        <f t="array" ref="AF269">IFERROR(_xlfn.BYROW(TRACK_TYPES[[#This Row],[TRACK_TYPE_NARROW_GAUGE_RAILTYPE_OHLE]:[TRACK_TYPE_NARROW_GAUGE_RAILTYPE_NONE]],_xlfn.LAMBDA(_xlpm.r,OR(_xlpm.r))),FALSE)</f>
        <v>1</v>
      </c>
      <c r="AG269" s="43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2984</v>
      </c>
      <c r="B270" s="45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43" t="b" cm="1">
        <f t="array" ref="AE270">IFERROR(_xlfn.BYROW(TRACK_TYPES[[#This Row],[TRACK_TYPE_STANDARD_GAUGE_RAILTYPE_OHLE]:[TRACK_TYPE_STANDARD_GAUGE_RAILTYPE_NONE]],_xlfn.LAMBDA(_xlpm.r,OR(_xlpm.r))),FALSE)</f>
        <v>1</v>
      </c>
      <c r="AF270" s="43" t="b" cm="1">
        <f t="array" ref="AF270">IFERROR(_xlfn.BYROW(TRACK_TYPES[[#This Row],[TRACK_TYPE_NARROW_GAUGE_RAILTYPE_OHLE]:[TRACK_TYPE_NARROW_GAUGE_RAILTYPE_NONE]],_xlfn.LAMBDA(_xlpm.r,OR(_xlpm.r))),FALSE)</f>
        <v>1</v>
      </c>
      <c r="AG270" s="43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>
      <c r="A271" s="2" t="s">
        <v>2985</v>
      </c>
      <c r="B271" s="45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43" t="b" cm="1">
        <f t="array" ref="AE271">IFERROR(_xlfn.BYROW(TRACK_TYPES[[#This Row],[TRACK_TYPE_STANDARD_GAUGE_RAILTYPE_OHLE]:[TRACK_TYPE_STANDARD_GAUGE_RAILTYPE_NONE]],_xlfn.LAMBDA(_xlpm.r,OR(_xlpm.r))),FALSE)</f>
        <v>1</v>
      </c>
      <c r="AF271" s="43" t="b" cm="1">
        <f t="array" ref="AF271">IFERROR(_xlfn.BYROW(TRACK_TYPES[[#This Row],[TRACK_TYPE_NARROW_GAUGE_RAILTYPE_OHLE]:[TRACK_TYPE_NARROW_GAUGE_RAILTYPE_NONE]],_xlfn.LAMBDA(_xlpm.r,OR(_xlpm.r))),FALSE)</f>
        <v>1</v>
      </c>
      <c r="AG271" s="43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>
      <c r="A272" s="2" t="s">
        <v>2986</v>
      </c>
      <c r="B272" s="45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43" t="b" cm="1">
        <f t="array" ref="AE272">IFERROR(_xlfn.BYROW(TRACK_TYPES[[#This Row],[TRACK_TYPE_STANDARD_GAUGE_RAILTYPE_OHLE]:[TRACK_TYPE_STANDARD_GAUGE_RAILTYPE_NONE]],_xlfn.LAMBDA(_xlpm.r,OR(_xlpm.r))),FALSE)</f>
        <v>0</v>
      </c>
      <c r="AF272" s="43" t="b" cm="1">
        <f t="array" ref="AF272">IFERROR(_xlfn.BYROW(TRACK_TYPES[[#This Row],[TRACK_TYPE_NARROW_GAUGE_RAILTYPE_OHLE]:[TRACK_TYPE_NARROW_GAUGE_RAILTYPE_NONE]],_xlfn.LAMBDA(_xlpm.r,OR(_xlpm.r))),FALSE)</f>
        <v>1</v>
      </c>
      <c r="AG272" s="43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2987</v>
      </c>
      <c r="B273" s="45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43" t="b" cm="1">
        <f t="array" ref="AE273">IFERROR(_xlfn.BYROW(TRACK_TYPES[[#This Row],[TRACK_TYPE_STANDARD_GAUGE_RAILTYPE_OHLE]:[TRACK_TYPE_STANDARD_GAUGE_RAILTYPE_NONE]],_xlfn.LAMBDA(_xlpm.r,OR(_xlpm.r))),FALSE)</f>
        <v>1</v>
      </c>
      <c r="AF273" s="43" t="b" cm="1">
        <f t="array" ref="AF273">IFERROR(_xlfn.BYROW(TRACK_TYPES[[#This Row],[TRACK_TYPE_NARROW_GAUGE_RAILTYPE_OHLE]:[TRACK_TYPE_NARROW_GAUGE_RAILTYPE_NONE]],_xlfn.LAMBDA(_xlpm.r,OR(_xlpm.r))),FALSE)</f>
        <v>0</v>
      </c>
      <c r="AG273" s="43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2988</v>
      </c>
      <c r="B274" s="45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43" t="b" cm="1">
        <f t="array" ref="AE274">IFERROR(_xlfn.BYROW(TRACK_TYPES[[#This Row],[TRACK_TYPE_STANDARD_GAUGE_RAILTYPE_OHLE]:[TRACK_TYPE_STANDARD_GAUGE_RAILTYPE_NONE]],_xlfn.LAMBDA(_xlpm.r,OR(_xlpm.r))),FALSE)</f>
        <v>0</v>
      </c>
      <c r="AF274" s="43" t="b" cm="1">
        <f t="array" ref="AF274">IFERROR(_xlfn.BYROW(TRACK_TYPES[[#This Row],[TRACK_TYPE_NARROW_GAUGE_RAILTYPE_OHLE]:[TRACK_TYPE_NARROW_GAUGE_RAILTYPE_NONE]],_xlfn.LAMBDA(_xlpm.r,OR(_xlpm.r))),FALSE)</f>
        <v>0</v>
      </c>
      <c r="AG274" s="43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2989</v>
      </c>
      <c r="B275" s="45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43" t="b" cm="1">
        <f t="array" ref="AE275">IFERROR(_xlfn.BYROW(TRACK_TYPES[[#This Row],[TRACK_TYPE_STANDARD_GAUGE_RAILTYPE_OHLE]:[TRACK_TYPE_STANDARD_GAUGE_RAILTYPE_NONE]],_xlfn.LAMBDA(_xlpm.r,OR(_xlpm.r))),FALSE)</f>
        <v>0</v>
      </c>
      <c r="AF275" s="43" t="b" cm="1">
        <f t="array" ref="AF275">IFERROR(_xlfn.BYROW(TRACK_TYPES[[#This Row],[TRACK_TYPE_NARROW_GAUGE_RAILTYPE_OHLE]:[TRACK_TYPE_NARROW_GAUGE_RAILTYPE_NONE]],_xlfn.LAMBDA(_xlpm.r,OR(_xlpm.r))),FALSE)</f>
        <v>0</v>
      </c>
      <c r="AG275" s="43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2990</v>
      </c>
      <c r="B276" s="45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43" t="b" cm="1">
        <f t="array" ref="AE276">IFERROR(_xlfn.BYROW(TRACK_TYPES[[#This Row],[TRACK_TYPE_STANDARD_GAUGE_RAILTYPE_OHLE]:[TRACK_TYPE_STANDARD_GAUGE_RAILTYPE_NONE]],_xlfn.LAMBDA(_xlpm.r,OR(_xlpm.r))),FALSE)</f>
        <v>0</v>
      </c>
      <c r="AF276" s="43" t="b" cm="1">
        <f t="array" ref="AF276">IFERROR(_xlfn.BYROW(TRACK_TYPES[[#This Row],[TRACK_TYPE_NARROW_GAUGE_RAILTYPE_OHLE]:[TRACK_TYPE_NARROW_GAUGE_RAILTYPE_NONE]],_xlfn.LAMBDA(_xlpm.r,OR(_xlpm.r))),FALSE)</f>
        <v>1</v>
      </c>
      <c r="AG276" s="43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2991</v>
      </c>
      <c r="B277" s="45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43" t="b" cm="1">
        <f t="array" ref="AE277">IFERROR(_xlfn.BYROW(TRACK_TYPES[[#This Row],[TRACK_TYPE_STANDARD_GAUGE_RAILTYPE_OHLE]:[TRACK_TYPE_STANDARD_GAUGE_RAILTYPE_NONE]],_xlfn.LAMBDA(_xlpm.r,OR(_xlpm.r))),FALSE)</f>
        <v>1</v>
      </c>
      <c r="AF277" s="43" t="b" cm="1">
        <f t="array" ref="AF277">IFERROR(_xlfn.BYROW(TRACK_TYPES[[#This Row],[TRACK_TYPE_NARROW_GAUGE_RAILTYPE_OHLE]:[TRACK_TYPE_NARROW_GAUGE_RAILTYPE_NONE]],_xlfn.LAMBDA(_xlpm.r,OR(_xlpm.r))),FALSE)</f>
        <v>1</v>
      </c>
      <c r="AG277" s="43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2992</v>
      </c>
      <c r="B278" s="45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43" t="b" cm="1">
        <f t="array" ref="AE278">IFERROR(_xlfn.BYROW(TRACK_TYPES[[#This Row],[TRACK_TYPE_STANDARD_GAUGE_RAILTYPE_OHLE]:[TRACK_TYPE_STANDARD_GAUGE_RAILTYPE_NONE]],_xlfn.LAMBDA(_xlpm.r,OR(_xlpm.r))),FALSE)</f>
        <v>1</v>
      </c>
      <c r="AF278" s="43" t="b" cm="1">
        <f t="array" ref="AF278">IFERROR(_xlfn.BYROW(TRACK_TYPES[[#This Row],[TRACK_TYPE_NARROW_GAUGE_RAILTYPE_OHLE]:[TRACK_TYPE_NARROW_GAUGE_RAILTYPE_NONE]],_xlfn.LAMBDA(_xlpm.r,OR(_xlpm.r))),FALSE)</f>
        <v>0</v>
      </c>
      <c r="AG278" s="43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2993</v>
      </c>
      <c r="B279" s="45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43" t="b" cm="1">
        <f t="array" ref="AE279">IFERROR(_xlfn.BYROW(TRACK_TYPES[[#This Row],[TRACK_TYPE_STANDARD_GAUGE_RAILTYPE_OHLE]:[TRACK_TYPE_STANDARD_GAUGE_RAILTYPE_NONE]],_xlfn.LAMBDA(_xlpm.r,OR(_xlpm.r))),FALSE)</f>
        <v>1</v>
      </c>
      <c r="AF279" s="43" t="b" cm="1">
        <f t="array" ref="AF279">IFERROR(_xlfn.BYROW(TRACK_TYPES[[#This Row],[TRACK_TYPE_NARROW_GAUGE_RAILTYPE_OHLE]:[TRACK_TYPE_NARROW_GAUGE_RAILTYPE_NONE]],_xlfn.LAMBDA(_xlpm.r,OR(_xlpm.r))),FALSE)</f>
        <v>0</v>
      </c>
      <c r="AG279" s="43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2994</v>
      </c>
      <c r="B280" s="45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43" t="b" cm="1">
        <f t="array" ref="AE280">IFERROR(_xlfn.BYROW(TRACK_TYPES[[#This Row],[TRACK_TYPE_STANDARD_GAUGE_RAILTYPE_OHLE]:[TRACK_TYPE_STANDARD_GAUGE_RAILTYPE_NONE]],_xlfn.LAMBDA(_xlpm.r,OR(_xlpm.r))),FALSE)</f>
        <v>1</v>
      </c>
      <c r="AF280" s="43" t="b" cm="1">
        <f t="array" ref="AF280">IFERROR(_xlfn.BYROW(TRACK_TYPES[[#This Row],[TRACK_TYPE_NARROW_GAUGE_RAILTYPE_OHLE]:[TRACK_TYPE_NARROW_GAUGE_RAILTYPE_NONE]],_xlfn.LAMBDA(_xlpm.r,OR(_xlpm.r))),FALSE)</f>
        <v>1</v>
      </c>
      <c r="AG280" s="43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2995</v>
      </c>
      <c r="B281" s="45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43" t="b" cm="1">
        <f t="array" ref="AE281">IFERROR(_xlfn.BYROW(TRACK_TYPES[[#This Row],[TRACK_TYPE_STANDARD_GAUGE_RAILTYPE_OHLE]:[TRACK_TYPE_STANDARD_GAUGE_RAILTYPE_NONE]],_xlfn.LAMBDA(_xlpm.r,OR(_xlpm.r))),FALSE)</f>
        <v>1</v>
      </c>
      <c r="AF281" s="43" t="b" cm="1">
        <f t="array" ref="AF281">IFERROR(_xlfn.BYROW(TRACK_TYPES[[#This Row],[TRACK_TYPE_NARROW_GAUGE_RAILTYPE_OHLE]:[TRACK_TYPE_NARROW_GAUGE_RAILTYPE_NONE]],_xlfn.LAMBDA(_xlpm.r,OR(_xlpm.r))),FALSE)</f>
        <v>0</v>
      </c>
      <c r="AG281" s="43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2996</v>
      </c>
      <c r="B282" s="45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43" t="b" cm="1">
        <f t="array" ref="AE282">IFERROR(_xlfn.BYROW(TRACK_TYPES[[#This Row],[TRACK_TYPE_STANDARD_GAUGE_RAILTYPE_OHLE]:[TRACK_TYPE_STANDARD_GAUGE_RAILTYPE_NONE]],_xlfn.LAMBDA(_xlpm.r,OR(_xlpm.r))),FALSE)</f>
        <v>0</v>
      </c>
      <c r="AF282" s="43" t="b" cm="1">
        <f t="array" ref="AF282">IFERROR(_xlfn.BYROW(TRACK_TYPES[[#This Row],[TRACK_TYPE_NARROW_GAUGE_RAILTYPE_OHLE]:[TRACK_TYPE_NARROW_GAUGE_RAILTYPE_NONE]],_xlfn.LAMBDA(_xlpm.r,OR(_xlpm.r))),FALSE)</f>
        <v>0</v>
      </c>
      <c r="AG282" s="43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2997</v>
      </c>
      <c r="B283" s="45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43" t="b" cm="1">
        <f t="array" ref="AE283">IFERROR(_xlfn.BYROW(TRACK_TYPES[[#This Row],[TRACK_TYPE_STANDARD_GAUGE_RAILTYPE_OHLE]:[TRACK_TYPE_STANDARD_GAUGE_RAILTYPE_NONE]],_xlfn.LAMBDA(_xlpm.r,OR(_xlpm.r))),FALSE)</f>
        <v>0</v>
      </c>
      <c r="AF283" s="43" t="b" cm="1">
        <f t="array" ref="AF283">IFERROR(_xlfn.BYROW(TRACK_TYPES[[#This Row],[TRACK_TYPE_NARROW_GAUGE_RAILTYPE_OHLE]:[TRACK_TYPE_NARROW_GAUGE_RAILTYPE_NONE]],_xlfn.LAMBDA(_xlpm.r,OR(_xlpm.r))),FALSE)</f>
        <v>0</v>
      </c>
      <c r="AG283" s="43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2998</v>
      </c>
      <c r="B284" s="45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43" t="b" cm="1">
        <f t="array" ref="AE284">IFERROR(_xlfn.BYROW(TRACK_TYPES[[#This Row],[TRACK_TYPE_STANDARD_GAUGE_RAILTYPE_OHLE]:[TRACK_TYPE_STANDARD_GAUGE_RAILTYPE_NONE]],_xlfn.LAMBDA(_xlpm.r,OR(_xlpm.r))),FALSE)</f>
        <v>1</v>
      </c>
      <c r="AF284" s="43" t="b" cm="1">
        <f t="array" ref="AF284">IFERROR(_xlfn.BYROW(TRACK_TYPES[[#This Row],[TRACK_TYPE_NARROW_GAUGE_RAILTYPE_OHLE]:[TRACK_TYPE_NARROW_GAUGE_RAILTYPE_NONE]],_xlfn.LAMBDA(_xlpm.r,OR(_xlpm.r))),FALSE)</f>
        <v>0</v>
      </c>
      <c r="AG284" s="43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2999</v>
      </c>
      <c r="B285" s="45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43" t="b" cm="1">
        <f t="array" ref="AE285">IFERROR(_xlfn.BYROW(TRACK_TYPES[[#This Row],[TRACK_TYPE_STANDARD_GAUGE_RAILTYPE_OHLE]:[TRACK_TYPE_STANDARD_GAUGE_RAILTYPE_NONE]],_xlfn.LAMBDA(_xlpm.r,OR(_xlpm.r))),FALSE)</f>
        <v>0</v>
      </c>
      <c r="AF285" s="43" t="b" cm="1">
        <f t="array" ref="AF285">IFERROR(_xlfn.BYROW(TRACK_TYPES[[#This Row],[TRACK_TYPE_NARROW_GAUGE_RAILTYPE_OHLE]:[TRACK_TYPE_NARROW_GAUGE_RAILTYPE_NONE]],_xlfn.LAMBDA(_xlpm.r,OR(_xlpm.r))),FALSE)</f>
        <v>0</v>
      </c>
      <c r="AG285" s="43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3000</v>
      </c>
      <c r="B286" s="45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43" t="b" cm="1">
        <f t="array" ref="AE286">IFERROR(_xlfn.BYROW(TRACK_TYPES[[#This Row],[TRACK_TYPE_STANDARD_GAUGE_RAILTYPE_OHLE]:[TRACK_TYPE_STANDARD_GAUGE_RAILTYPE_NONE]],_xlfn.LAMBDA(_xlpm.r,OR(_xlpm.r))),FALSE)</f>
        <v>0</v>
      </c>
      <c r="AF286" s="43" t="b" cm="1">
        <f t="array" ref="AF286">IFERROR(_xlfn.BYROW(TRACK_TYPES[[#This Row],[TRACK_TYPE_NARROW_GAUGE_RAILTYPE_OHLE]:[TRACK_TYPE_NARROW_GAUGE_RAILTYPE_NONE]],_xlfn.LAMBDA(_xlpm.r,OR(_xlpm.r))),FALSE)</f>
        <v>0</v>
      </c>
      <c r="AG286" s="43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3001</v>
      </c>
      <c r="B287" s="45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43" t="b" cm="1">
        <f t="array" ref="AE287">IFERROR(_xlfn.BYROW(TRACK_TYPES[[#This Row],[TRACK_TYPE_STANDARD_GAUGE_RAILTYPE_OHLE]:[TRACK_TYPE_STANDARD_GAUGE_RAILTYPE_NONE]],_xlfn.LAMBDA(_xlpm.r,OR(_xlpm.r))),FALSE)</f>
        <v>1</v>
      </c>
      <c r="AF287" s="43" t="b" cm="1">
        <f t="array" ref="AF287">IFERROR(_xlfn.BYROW(TRACK_TYPES[[#This Row],[TRACK_TYPE_NARROW_GAUGE_RAILTYPE_OHLE]:[TRACK_TYPE_NARROW_GAUGE_RAILTYPE_NONE]],_xlfn.LAMBDA(_xlpm.r,OR(_xlpm.r))),FALSE)</f>
        <v>0</v>
      </c>
      <c r="AG287" s="43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3002</v>
      </c>
      <c r="B288" s="45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43" t="b" cm="1">
        <f t="array" ref="AE288">IFERROR(_xlfn.BYROW(TRACK_TYPES[[#This Row],[TRACK_TYPE_STANDARD_GAUGE_RAILTYPE_OHLE]:[TRACK_TYPE_STANDARD_GAUGE_RAILTYPE_NONE]],_xlfn.LAMBDA(_xlpm.r,OR(_xlpm.r))),FALSE)</f>
        <v>1</v>
      </c>
      <c r="AF288" s="43" t="b" cm="1">
        <f t="array" ref="AF288">IFERROR(_xlfn.BYROW(TRACK_TYPES[[#This Row],[TRACK_TYPE_NARROW_GAUGE_RAILTYPE_OHLE]:[TRACK_TYPE_NARROW_GAUGE_RAILTYPE_NONE]],_xlfn.LAMBDA(_xlpm.r,OR(_xlpm.r))),FALSE)</f>
        <v>0</v>
      </c>
      <c r="AG288" s="43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3003</v>
      </c>
      <c r="B289" s="45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43" t="b" cm="1">
        <f t="array" ref="AE289">IFERROR(_xlfn.BYROW(TRACK_TYPES[[#This Row],[TRACK_TYPE_STANDARD_GAUGE_RAILTYPE_OHLE]:[TRACK_TYPE_STANDARD_GAUGE_RAILTYPE_NONE]],_xlfn.LAMBDA(_xlpm.r,OR(_xlpm.r))),FALSE)</f>
        <v>0</v>
      </c>
      <c r="AF289" s="43" t="b" cm="1">
        <f t="array" ref="AF289">IFERROR(_xlfn.BYROW(TRACK_TYPES[[#This Row],[TRACK_TYPE_NARROW_GAUGE_RAILTYPE_OHLE]:[TRACK_TYPE_NARROW_GAUGE_RAILTYPE_NONE]],_xlfn.LAMBDA(_xlpm.r,OR(_xlpm.r))),FALSE)</f>
        <v>0</v>
      </c>
      <c r="AG289" s="43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3004</v>
      </c>
      <c r="B290" s="45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43" t="b" cm="1">
        <f t="array" ref="AE290">IFERROR(_xlfn.BYROW(TRACK_TYPES[[#This Row],[TRACK_TYPE_STANDARD_GAUGE_RAILTYPE_OHLE]:[TRACK_TYPE_STANDARD_GAUGE_RAILTYPE_NONE]],_xlfn.LAMBDA(_xlpm.r,OR(_xlpm.r))),FALSE)</f>
        <v>1</v>
      </c>
      <c r="AF290" s="43" t="b" cm="1">
        <f t="array" ref="AF290">IFERROR(_xlfn.BYROW(TRACK_TYPES[[#This Row],[TRACK_TYPE_NARROW_GAUGE_RAILTYPE_OHLE]:[TRACK_TYPE_NARROW_GAUGE_RAILTYPE_NONE]],_xlfn.LAMBDA(_xlpm.r,OR(_xlpm.r))),FALSE)</f>
        <v>0</v>
      </c>
      <c r="AG290" s="43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>
      <c r="A291" s="2" t="s">
        <v>3005</v>
      </c>
      <c r="B291" s="45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43" t="b" cm="1">
        <f t="array" ref="AE291">IFERROR(_xlfn.BYROW(TRACK_TYPES[[#This Row],[TRACK_TYPE_STANDARD_GAUGE_RAILTYPE_OHLE]:[TRACK_TYPE_STANDARD_GAUGE_RAILTYPE_NONE]],_xlfn.LAMBDA(_xlpm.r,OR(_xlpm.r))),FALSE)</f>
        <v>1</v>
      </c>
      <c r="AF291" s="43" t="b" cm="1">
        <f t="array" ref="AF291">IFERROR(_xlfn.BYROW(TRACK_TYPES[[#This Row],[TRACK_TYPE_NARROW_GAUGE_RAILTYPE_OHLE]:[TRACK_TYPE_NARROW_GAUGE_RAILTYPE_NONE]],_xlfn.LAMBDA(_xlpm.r,OR(_xlpm.r))),FALSE)</f>
        <v>0</v>
      </c>
      <c r="AG291" s="43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3006</v>
      </c>
      <c r="B292" s="45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43" t="b" cm="1">
        <f t="array" ref="AE292">IFERROR(_xlfn.BYROW(TRACK_TYPES[[#This Row],[TRACK_TYPE_STANDARD_GAUGE_RAILTYPE_OHLE]:[TRACK_TYPE_STANDARD_GAUGE_RAILTYPE_NONE]],_xlfn.LAMBDA(_xlpm.r,OR(_xlpm.r))),FALSE)</f>
        <v>1</v>
      </c>
      <c r="AF292" s="43" t="b" cm="1">
        <f t="array" ref="AF292">IFERROR(_xlfn.BYROW(TRACK_TYPES[[#This Row],[TRACK_TYPE_NARROW_GAUGE_RAILTYPE_OHLE]:[TRACK_TYPE_NARROW_GAUGE_RAILTYPE_NONE]],_xlfn.LAMBDA(_xlpm.r,OR(_xlpm.r))),FALSE)</f>
        <v>0</v>
      </c>
      <c r="AG292" s="43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3007</v>
      </c>
      <c r="B293" s="45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43" t="b" cm="1">
        <f t="array" ref="AE293">IFERROR(_xlfn.BYROW(TRACK_TYPES[[#This Row],[TRACK_TYPE_STANDARD_GAUGE_RAILTYPE_OHLE]:[TRACK_TYPE_STANDARD_GAUGE_RAILTYPE_NONE]],_xlfn.LAMBDA(_xlpm.r,OR(_xlpm.r))),FALSE)</f>
        <v>1</v>
      </c>
      <c r="AF293" s="43" t="b" cm="1">
        <f t="array" ref="AF293">IFERROR(_xlfn.BYROW(TRACK_TYPES[[#This Row],[TRACK_TYPE_NARROW_GAUGE_RAILTYPE_OHLE]:[TRACK_TYPE_NARROW_GAUGE_RAILTYPE_NONE]],_xlfn.LAMBDA(_xlpm.r,OR(_xlpm.r))),FALSE)</f>
        <v>0</v>
      </c>
      <c r="AG293" s="43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3008</v>
      </c>
      <c r="B294" s="45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43" t="b" cm="1">
        <f t="array" ref="AE294">IFERROR(_xlfn.BYROW(TRACK_TYPES[[#This Row],[TRACK_TYPE_STANDARD_GAUGE_RAILTYPE_OHLE]:[TRACK_TYPE_STANDARD_GAUGE_RAILTYPE_NONE]],_xlfn.LAMBDA(_xlpm.r,OR(_xlpm.r))),FALSE)</f>
        <v>0</v>
      </c>
      <c r="AF294" s="43" t="b" cm="1">
        <f t="array" ref="AF294">IFERROR(_xlfn.BYROW(TRACK_TYPES[[#This Row],[TRACK_TYPE_NARROW_GAUGE_RAILTYPE_OHLE]:[TRACK_TYPE_NARROW_GAUGE_RAILTYPE_NONE]],_xlfn.LAMBDA(_xlpm.r,OR(_xlpm.r))),FALSE)</f>
        <v>1</v>
      </c>
      <c r="AG294" s="43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3009</v>
      </c>
      <c r="B295" s="45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43" t="b" cm="1">
        <f t="array" ref="AE295">IFERROR(_xlfn.BYROW(TRACK_TYPES[[#This Row],[TRACK_TYPE_STANDARD_GAUGE_RAILTYPE_OHLE]:[TRACK_TYPE_STANDARD_GAUGE_RAILTYPE_NONE]],_xlfn.LAMBDA(_xlpm.r,OR(_xlpm.r))),FALSE)</f>
        <v>0</v>
      </c>
      <c r="AF295" s="43" t="b" cm="1">
        <f t="array" ref="AF295">IFERROR(_xlfn.BYROW(TRACK_TYPES[[#This Row],[TRACK_TYPE_NARROW_GAUGE_RAILTYPE_OHLE]:[TRACK_TYPE_NARROW_GAUGE_RAILTYPE_NONE]],_xlfn.LAMBDA(_xlpm.r,OR(_xlpm.r))),FALSE)</f>
        <v>0</v>
      </c>
      <c r="AG295" s="43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3010</v>
      </c>
      <c r="B296" s="45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43" t="b" cm="1">
        <f t="array" ref="AE296">IFERROR(_xlfn.BYROW(TRACK_TYPES[[#This Row],[TRACK_TYPE_STANDARD_GAUGE_RAILTYPE_OHLE]:[TRACK_TYPE_STANDARD_GAUGE_RAILTYPE_NONE]],_xlfn.LAMBDA(_xlpm.r,OR(_xlpm.r))),FALSE)</f>
        <v>1</v>
      </c>
      <c r="AF296" s="43" t="b" cm="1">
        <f t="array" ref="AF296">IFERROR(_xlfn.BYROW(TRACK_TYPES[[#This Row],[TRACK_TYPE_NARROW_GAUGE_RAILTYPE_OHLE]:[TRACK_TYPE_NARROW_GAUGE_RAILTYPE_NONE]],_xlfn.LAMBDA(_xlpm.r,OR(_xlpm.r))),FALSE)</f>
        <v>0</v>
      </c>
      <c r="AG296" s="43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3011</v>
      </c>
      <c r="B297" s="45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43" t="b" cm="1">
        <f t="array" ref="AE297">IFERROR(_xlfn.BYROW(TRACK_TYPES[[#This Row],[TRACK_TYPE_STANDARD_GAUGE_RAILTYPE_OHLE]:[TRACK_TYPE_STANDARD_GAUGE_RAILTYPE_NONE]],_xlfn.LAMBDA(_xlpm.r,OR(_xlpm.r))),FALSE)</f>
        <v>1</v>
      </c>
      <c r="AF297" s="43" t="b" cm="1">
        <f t="array" ref="AF297">IFERROR(_xlfn.BYROW(TRACK_TYPES[[#This Row],[TRACK_TYPE_NARROW_GAUGE_RAILTYPE_OHLE]:[TRACK_TYPE_NARROW_GAUGE_RAILTYPE_NONE]],_xlfn.LAMBDA(_xlpm.r,OR(_xlpm.r))),FALSE)</f>
        <v>0</v>
      </c>
      <c r="AG297" s="43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3012</v>
      </c>
      <c r="B298" s="45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43" t="b" cm="1">
        <f t="array" ref="AE298">IFERROR(_xlfn.BYROW(TRACK_TYPES[[#This Row],[TRACK_TYPE_STANDARD_GAUGE_RAILTYPE_OHLE]:[TRACK_TYPE_STANDARD_GAUGE_RAILTYPE_NONE]],_xlfn.LAMBDA(_xlpm.r,OR(_xlpm.r))),FALSE)</f>
        <v>1</v>
      </c>
      <c r="AF298" s="43" t="b" cm="1">
        <f t="array" ref="AF298">IFERROR(_xlfn.BYROW(TRACK_TYPES[[#This Row],[TRACK_TYPE_NARROW_GAUGE_RAILTYPE_OHLE]:[TRACK_TYPE_NARROW_GAUGE_RAILTYPE_NONE]],_xlfn.LAMBDA(_xlpm.r,OR(_xlpm.r))),FALSE)</f>
        <v>0</v>
      </c>
      <c r="AG298" s="43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3013</v>
      </c>
      <c r="B299" s="45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43" t="b" cm="1">
        <f t="array" ref="AE299">IFERROR(_xlfn.BYROW(TRACK_TYPES[[#This Row],[TRACK_TYPE_STANDARD_GAUGE_RAILTYPE_OHLE]:[TRACK_TYPE_STANDARD_GAUGE_RAILTYPE_NONE]],_xlfn.LAMBDA(_xlpm.r,OR(_xlpm.r))),FALSE)</f>
        <v>1</v>
      </c>
      <c r="AF299" s="43" t="b" cm="1">
        <f t="array" ref="AF299">IFERROR(_xlfn.BYROW(TRACK_TYPES[[#This Row],[TRACK_TYPE_NARROW_GAUGE_RAILTYPE_OHLE]:[TRACK_TYPE_NARROW_GAUGE_RAILTYPE_NONE]],_xlfn.LAMBDA(_xlpm.r,OR(_xlpm.r))),FALSE)</f>
        <v>0</v>
      </c>
      <c r="AG299" s="43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3014</v>
      </c>
      <c r="B300" s="45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43" t="b" cm="1">
        <f t="array" ref="AE300">IFERROR(_xlfn.BYROW(TRACK_TYPES[[#This Row],[TRACK_TYPE_STANDARD_GAUGE_RAILTYPE_OHLE]:[TRACK_TYPE_STANDARD_GAUGE_RAILTYPE_NONE]],_xlfn.LAMBDA(_xlpm.r,OR(_xlpm.r))),FALSE)</f>
        <v>1</v>
      </c>
      <c r="AF300" s="43" t="b" cm="1">
        <f t="array" ref="AF300">IFERROR(_xlfn.BYROW(TRACK_TYPES[[#This Row],[TRACK_TYPE_NARROW_GAUGE_RAILTYPE_OHLE]:[TRACK_TYPE_NARROW_GAUGE_RAILTYPE_NONE]],_xlfn.LAMBDA(_xlpm.r,OR(_xlpm.r))),FALSE)</f>
        <v>0</v>
      </c>
      <c r="AG300" s="43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3015</v>
      </c>
      <c r="B301" s="45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43" t="b" cm="1">
        <f t="array" ref="AE301">IFERROR(_xlfn.BYROW(TRACK_TYPES[[#This Row],[TRACK_TYPE_STANDARD_GAUGE_RAILTYPE_OHLE]:[TRACK_TYPE_STANDARD_GAUGE_RAILTYPE_NONE]],_xlfn.LAMBDA(_xlpm.r,OR(_xlpm.r))),FALSE)</f>
        <v>1</v>
      </c>
      <c r="AF301" s="43" t="b" cm="1">
        <f t="array" ref="AF301">IFERROR(_xlfn.BYROW(TRACK_TYPES[[#This Row],[TRACK_TYPE_NARROW_GAUGE_RAILTYPE_OHLE]:[TRACK_TYPE_NARROW_GAUGE_RAILTYPE_NONE]],_xlfn.LAMBDA(_xlpm.r,OR(_xlpm.r))),FALSE)</f>
        <v>0</v>
      </c>
      <c r="AG301" s="43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3016</v>
      </c>
      <c r="B302" s="45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43" t="b" cm="1">
        <f t="array" ref="AE302">IFERROR(_xlfn.BYROW(TRACK_TYPES[[#This Row],[TRACK_TYPE_STANDARD_GAUGE_RAILTYPE_OHLE]:[TRACK_TYPE_STANDARD_GAUGE_RAILTYPE_NONE]],_xlfn.LAMBDA(_xlpm.r,OR(_xlpm.r))),FALSE)</f>
        <v>1</v>
      </c>
      <c r="AF302" s="43" t="b" cm="1">
        <f t="array" ref="AF302">IFERROR(_xlfn.BYROW(TRACK_TYPES[[#This Row],[TRACK_TYPE_NARROW_GAUGE_RAILTYPE_OHLE]:[TRACK_TYPE_NARROW_GAUGE_RAILTYPE_NONE]],_xlfn.LAMBDA(_xlpm.r,OR(_xlpm.r))),FALSE)</f>
        <v>0</v>
      </c>
      <c r="AG302" s="43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3017</v>
      </c>
      <c r="B303" s="45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43" t="b" cm="1">
        <f t="array" ref="AE303">IFERROR(_xlfn.BYROW(TRACK_TYPES[[#This Row],[TRACK_TYPE_STANDARD_GAUGE_RAILTYPE_OHLE]:[TRACK_TYPE_STANDARD_GAUGE_RAILTYPE_NONE]],_xlfn.LAMBDA(_xlpm.r,OR(_xlpm.r))),FALSE)</f>
        <v>1</v>
      </c>
      <c r="AF303" s="43" t="b" cm="1">
        <f t="array" ref="AF303">IFERROR(_xlfn.BYROW(TRACK_TYPES[[#This Row],[TRACK_TYPE_NARROW_GAUGE_RAILTYPE_OHLE]:[TRACK_TYPE_NARROW_GAUGE_RAILTYPE_NONE]],_xlfn.LAMBDA(_xlpm.r,OR(_xlpm.r))),FALSE)</f>
        <v>0</v>
      </c>
      <c r="AG303" s="43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3018</v>
      </c>
      <c r="B304" s="45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43" t="b" cm="1">
        <f t="array" ref="AE304">IFERROR(_xlfn.BYROW(TRACK_TYPES[[#This Row],[TRACK_TYPE_STANDARD_GAUGE_RAILTYPE_OHLE]:[TRACK_TYPE_STANDARD_GAUGE_RAILTYPE_NONE]],_xlfn.LAMBDA(_xlpm.r,OR(_xlpm.r))),FALSE)</f>
        <v>1</v>
      </c>
      <c r="AF304" s="43" t="b" cm="1">
        <f t="array" ref="AF304">IFERROR(_xlfn.BYROW(TRACK_TYPES[[#This Row],[TRACK_TYPE_NARROW_GAUGE_RAILTYPE_OHLE]:[TRACK_TYPE_NARROW_GAUGE_RAILTYPE_NONE]],_xlfn.LAMBDA(_xlpm.r,OR(_xlpm.r))),FALSE)</f>
        <v>0</v>
      </c>
      <c r="AG304" s="43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3019</v>
      </c>
      <c r="B305" s="45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43" t="b" cm="1">
        <f t="array" ref="AE305">IFERROR(_xlfn.BYROW(TRACK_TYPES[[#This Row],[TRACK_TYPE_STANDARD_GAUGE_RAILTYPE_OHLE]:[TRACK_TYPE_STANDARD_GAUGE_RAILTYPE_NONE]],_xlfn.LAMBDA(_xlpm.r,OR(_xlpm.r))),FALSE)</f>
        <v>1</v>
      </c>
      <c r="AF305" s="43" t="b" cm="1">
        <f t="array" ref="AF305">IFERROR(_xlfn.BYROW(TRACK_TYPES[[#This Row],[TRACK_TYPE_NARROW_GAUGE_RAILTYPE_OHLE]:[TRACK_TYPE_NARROW_GAUGE_RAILTYPE_NONE]],_xlfn.LAMBDA(_xlpm.r,OR(_xlpm.r))),FALSE)</f>
        <v>0</v>
      </c>
      <c r="AG305" s="43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3020</v>
      </c>
      <c r="B306" s="45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43" t="b" cm="1">
        <f t="array" ref="AE306">IFERROR(_xlfn.BYROW(TRACK_TYPES[[#This Row],[TRACK_TYPE_STANDARD_GAUGE_RAILTYPE_OHLE]:[TRACK_TYPE_STANDARD_GAUGE_RAILTYPE_NONE]],_xlfn.LAMBDA(_xlpm.r,OR(_xlpm.r))),FALSE)</f>
        <v>1</v>
      </c>
      <c r="AF306" s="43" t="b" cm="1">
        <f t="array" ref="AF306">IFERROR(_xlfn.BYROW(TRACK_TYPES[[#This Row],[TRACK_TYPE_NARROW_GAUGE_RAILTYPE_OHLE]:[TRACK_TYPE_NARROW_GAUGE_RAILTYPE_NONE]],_xlfn.LAMBDA(_xlpm.r,OR(_xlpm.r))),FALSE)</f>
        <v>0</v>
      </c>
      <c r="AG306" s="43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3021</v>
      </c>
      <c r="B307" s="45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43" t="b" cm="1">
        <f t="array" ref="AE307">IFERROR(_xlfn.BYROW(TRACK_TYPES[[#This Row],[TRACK_TYPE_STANDARD_GAUGE_RAILTYPE_OHLE]:[TRACK_TYPE_STANDARD_GAUGE_RAILTYPE_NONE]],_xlfn.LAMBDA(_xlpm.r,OR(_xlpm.r))),FALSE)</f>
        <v>1</v>
      </c>
      <c r="AF307" s="43" t="b" cm="1">
        <f t="array" ref="AF307">IFERROR(_xlfn.BYROW(TRACK_TYPES[[#This Row],[TRACK_TYPE_NARROW_GAUGE_RAILTYPE_OHLE]:[TRACK_TYPE_NARROW_GAUGE_RAILTYPE_NONE]],_xlfn.LAMBDA(_xlpm.r,OR(_xlpm.r))),FALSE)</f>
        <v>0</v>
      </c>
      <c r="AG307" s="43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3022</v>
      </c>
      <c r="B308" s="45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43" t="b" cm="1">
        <f t="array" ref="AE308">IFERROR(_xlfn.BYROW(TRACK_TYPES[[#This Row],[TRACK_TYPE_STANDARD_GAUGE_RAILTYPE_OHLE]:[TRACK_TYPE_STANDARD_GAUGE_RAILTYPE_NONE]],_xlfn.LAMBDA(_xlpm.r,OR(_xlpm.r))),FALSE)</f>
        <v>1</v>
      </c>
      <c r="AF308" s="43" t="b" cm="1">
        <f t="array" ref="AF308">IFERROR(_xlfn.BYROW(TRACK_TYPES[[#This Row],[TRACK_TYPE_NARROW_GAUGE_RAILTYPE_OHLE]:[TRACK_TYPE_NARROW_GAUGE_RAILTYPE_NONE]],_xlfn.LAMBDA(_xlpm.r,OR(_xlpm.r))),FALSE)</f>
        <v>0</v>
      </c>
      <c r="AG308" s="43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3023</v>
      </c>
      <c r="B309" s="45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43" t="b" cm="1">
        <f t="array" ref="AE309">IFERROR(_xlfn.BYROW(TRACK_TYPES[[#This Row],[TRACK_TYPE_STANDARD_GAUGE_RAILTYPE_OHLE]:[TRACK_TYPE_STANDARD_GAUGE_RAILTYPE_NONE]],_xlfn.LAMBDA(_xlpm.r,OR(_xlpm.r))),FALSE)</f>
        <v>1</v>
      </c>
      <c r="AF309" s="43" t="b" cm="1">
        <f t="array" ref="AF309">IFERROR(_xlfn.BYROW(TRACK_TYPES[[#This Row],[TRACK_TYPE_NARROW_GAUGE_RAILTYPE_OHLE]:[TRACK_TYPE_NARROW_GAUGE_RAILTYPE_NONE]],_xlfn.LAMBDA(_xlpm.r,OR(_xlpm.r))),FALSE)</f>
        <v>0</v>
      </c>
      <c r="AG309" s="43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3024</v>
      </c>
      <c r="B310" s="45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43" t="b" cm="1">
        <f t="array" ref="AE310">IFERROR(_xlfn.BYROW(TRACK_TYPES[[#This Row],[TRACK_TYPE_STANDARD_GAUGE_RAILTYPE_OHLE]:[TRACK_TYPE_STANDARD_GAUGE_RAILTYPE_NONE]],_xlfn.LAMBDA(_xlpm.r,OR(_xlpm.r))),FALSE)</f>
        <v>1</v>
      </c>
      <c r="AF310" s="43" t="b" cm="1">
        <f t="array" ref="AF310">IFERROR(_xlfn.BYROW(TRACK_TYPES[[#This Row],[TRACK_TYPE_NARROW_GAUGE_RAILTYPE_OHLE]:[TRACK_TYPE_NARROW_GAUGE_RAILTYPE_NONE]],_xlfn.LAMBDA(_xlpm.r,OR(_xlpm.r))),FALSE)</f>
        <v>0</v>
      </c>
      <c r="AG310" s="43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3025</v>
      </c>
      <c r="B311" s="45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43" t="b" cm="1">
        <f t="array" ref="AE311">IFERROR(_xlfn.BYROW(TRACK_TYPES[[#This Row],[TRACK_TYPE_STANDARD_GAUGE_RAILTYPE_OHLE]:[TRACK_TYPE_STANDARD_GAUGE_RAILTYPE_NONE]],_xlfn.LAMBDA(_xlpm.r,OR(_xlpm.r))),FALSE)</f>
        <v>1</v>
      </c>
      <c r="AF311" s="43" t="b" cm="1">
        <f t="array" ref="AF311">IFERROR(_xlfn.BYROW(TRACK_TYPES[[#This Row],[TRACK_TYPE_NARROW_GAUGE_RAILTYPE_OHLE]:[TRACK_TYPE_NARROW_GAUGE_RAILTYPE_NONE]],_xlfn.LAMBDA(_xlpm.r,OR(_xlpm.r))),FALSE)</f>
        <v>0</v>
      </c>
      <c r="AG311" s="43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3026</v>
      </c>
      <c r="B312" s="45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43" t="b" cm="1">
        <f t="array" ref="AE312">IFERROR(_xlfn.BYROW(TRACK_TYPES[[#This Row],[TRACK_TYPE_STANDARD_GAUGE_RAILTYPE_OHLE]:[TRACK_TYPE_STANDARD_GAUGE_RAILTYPE_NONE]],_xlfn.LAMBDA(_xlpm.r,OR(_xlpm.r))),FALSE)</f>
        <v>1</v>
      </c>
      <c r="AF312" s="43" t="b" cm="1">
        <f t="array" ref="AF312">IFERROR(_xlfn.BYROW(TRACK_TYPES[[#This Row],[TRACK_TYPE_NARROW_GAUGE_RAILTYPE_OHLE]:[TRACK_TYPE_NARROW_GAUGE_RAILTYPE_NONE]],_xlfn.LAMBDA(_xlpm.r,OR(_xlpm.r))),FALSE)</f>
        <v>0</v>
      </c>
      <c r="AG312" s="43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3027</v>
      </c>
      <c r="B313" s="45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43" t="b" cm="1">
        <f t="array" ref="AE313">IFERROR(_xlfn.BYROW(TRACK_TYPES[[#This Row],[TRACK_TYPE_STANDARD_GAUGE_RAILTYPE_OHLE]:[TRACK_TYPE_STANDARD_GAUGE_RAILTYPE_NONE]],_xlfn.LAMBDA(_xlpm.r,OR(_xlpm.r))),FALSE)</f>
        <v>1</v>
      </c>
      <c r="AF313" s="43" t="b" cm="1">
        <f t="array" ref="AF313">IFERROR(_xlfn.BYROW(TRACK_TYPES[[#This Row],[TRACK_TYPE_NARROW_GAUGE_RAILTYPE_OHLE]:[TRACK_TYPE_NARROW_GAUGE_RAILTYPE_NONE]],_xlfn.LAMBDA(_xlpm.r,OR(_xlpm.r))),FALSE)</f>
        <v>0</v>
      </c>
      <c r="AG313" s="43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3028</v>
      </c>
      <c r="B314" s="45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43" t="b" cm="1">
        <f t="array" ref="AE314">IFERROR(_xlfn.BYROW(TRACK_TYPES[[#This Row],[TRACK_TYPE_STANDARD_GAUGE_RAILTYPE_OHLE]:[TRACK_TYPE_STANDARD_GAUGE_RAILTYPE_NONE]],_xlfn.LAMBDA(_xlpm.r,OR(_xlpm.r))),FALSE)</f>
        <v>0</v>
      </c>
      <c r="AF314" s="43" t="b" cm="1">
        <f t="array" ref="AF314">IFERROR(_xlfn.BYROW(TRACK_TYPES[[#This Row],[TRACK_TYPE_NARROW_GAUGE_RAILTYPE_OHLE]:[TRACK_TYPE_NARROW_GAUGE_RAILTYPE_NONE]],_xlfn.LAMBDA(_xlpm.r,OR(_xlpm.r))),FALSE)</f>
        <v>0</v>
      </c>
      <c r="AG314" s="43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>
      <c r="A315" s="2" t="s">
        <v>3029</v>
      </c>
      <c r="B315" s="45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43" t="b" cm="1">
        <f t="array" ref="AE315">IFERROR(_xlfn.BYROW(TRACK_TYPES[[#This Row],[TRACK_TYPE_STANDARD_GAUGE_RAILTYPE_OHLE]:[TRACK_TYPE_STANDARD_GAUGE_RAILTYPE_NONE]],_xlfn.LAMBDA(_xlpm.r,OR(_xlpm.r))),FALSE)</f>
        <v>0</v>
      </c>
      <c r="AF315" s="43" t="b" cm="1">
        <f t="array" ref="AF315">IFERROR(_xlfn.BYROW(TRACK_TYPES[[#This Row],[TRACK_TYPE_NARROW_GAUGE_RAILTYPE_OHLE]:[TRACK_TYPE_NARROW_GAUGE_RAILTYPE_NONE]],_xlfn.LAMBDA(_xlpm.r,OR(_xlpm.r))),FALSE)</f>
        <v>0</v>
      </c>
      <c r="AG315" s="43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3030</v>
      </c>
      <c r="B316" s="45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43" t="b" cm="1">
        <f t="array" ref="AE316">IFERROR(_xlfn.BYROW(TRACK_TYPES[[#This Row],[TRACK_TYPE_STANDARD_GAUGE_RAILTYPE_OHLE]:[TRACK_TYPE_STANDARD_GAUGE_RAILTYPE_NONE]],_xlfn.LAMBDA(_xlpm.r,OR(_xlpm.r))),FALSE)</f>
        <v>0</v>
      </c>
      <c r="AF316" s="43" t="b" cm="1">
        <f t="array" ref="AF316">IFERROR(_xlfn.BYROW(TRACK_TYPES[[#This Row],[TRACK_TYPE_NARROW_GAUGE_RAILTYPE_OHLE]:[TRACK_TYPE_NARROW_GAUGE_RAILTYPE_NONE]],_xlfn.LAMBDA(_xlpm.r,OR(_xlpm.r))),FALSE)</f>
        <v>0</v>
      </c>
      <c r="AG316" s="43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3031</v>
      </c>
      <c r="B317" s="45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43" t="b" cm="1">
        <f t="array" ref="AE317">IFERROR(_xlfn.BYROW(TRACK_TYPES[[#This Row],[TRACK_TYPE_STANDARD_GAUGE_RAILTYPE_OHLE]:[TRACK_TYPE_STANDARD_GAUGE_RAILTYPE_NONE]],_xlfn.LAMBDA(_xlpm.r,OR(_xlpm.r))),FALSE)</f>
        <v>1</v>
      </c>
      <c r="AF317" s="43" t="b" cm="1">
        <f t="array" ref="AF317">IFERROR(_xlfn.BYROW(TRACK_TYPES[[#This Row],[TRACK_TYPE_NARROW_GAUGE_RAILTYPE_OHLE]:[TRACK_TYPE_NARROW_GAUGE_RAILTYPE_NONE]],_xlfn.LAMBDA(_xlpm.r,OR(_xlpm.r))),FALSE)</f>
        <v>0</v>
      </c>
      <c r="AG317" s="43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3032</v>
      </c>
      <c r="B318" s="45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43" t="b" cm="1">
        <f t="array" ref="AE318">IFERROR(_xlfn.BYROW(TRACK_TYPES[[#This Row],[TRACK_TYPE_STANDARD_GAUGE_RAILTYPE_OHLE]:[TRACK_TYPE_STANDARD_GAUGE_RAILTYPE_NONE]],_xlfn.LAMBDA(_xlpm.r,OR(_xlpm.r))),FALSE)</f>
        <v>1</v>
      </c>
      <c r="AF318" s="43" t="b" cm="1">
        <f t="array" ref="AF318">IFERROR(_xlfn.BYROW(TRACK_TYPES[[#This Row],[TRACK_TYPE_NARROW_GAUGE_RAILTYPE_OHLE]:[TRACK_TYPE_NARROW_GAUGE_RAILTYPE_NONE]],_xlfn.LAMBDA(_xlpm.r,OR(_xlpm.r))),FALSE)</f>
        <v>0</v>
      </c>
      <c r="AG318" s="43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3033</v>
      </c>
      <c r="B319" s="45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43" t="b" cm="1">
        <f t="array" ref="AE319">IFERROR(_xlfn.BYROW(TRACK_TYPES[[#This Row],[TRACK_TYPE_STANDARD_GAUGE_RAILTYPE_OHLE]:[TRACK_TYPE_STANDARD_GAUGE_RAILTYPE_NONE]],_xlfn.LAMBDA(_xlpm.r,OR(_xlpm.r))),FALSE)</f>
        <v>1</v>
      </c>
      <c r="AF319" s="43" t="b" cm="1">
        <f t="array" ref="AF319">IFERROR(_xlfn.BYROW(TRACK_TYPES[[#This Row],[TRACK_TYPE_NARROW_GAUGE_RAILTYPE_OHLE]:[TRACK_TYPE_NARROW_GAUGE_RAILTYPE_NONE]],_xlfn.LAMBDA(_xlpm.r,OR(_xlpm.r))),FALSE)</f>
        <v>0</v>
      </c>
      <c r="AG319" s="43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3034</v>
      </c>
      <c r="B320" s="45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43" t="b" cm="1">
        <f t="array" ref="AE320">IFERROR(_xlfn.BYROW(TRACK_TYPES[[#This Row],[TRACK_TYPE_STANDARD_GAUGE_RAILTYPE_OHLE]:[TRACK_TYPE_STANDARD_GAUGE_RAILTYPE_NONE]],_xlfn.LAMBDA(_xlpm.r,OR(_xlpm.r))),FALSE)</f>
        <v>1</v>
      </c>
      <c r="AF320" s="43" t="b" cm="1">
        <f t="array" ref="AF320">IFERROR(_xlfn.BYROW(TRACK_TYPES[[#This Row],[TRACK_TYPE_NARROW_GAUGE_RAILTYPE_OHLE]:[TRACK_TYPE_NARROW_GAUGE_RAILTYPE_NONE]],_xlfn.LAMBDA(_xlpm.r,OR(_xlpm.r))),FALSE)</f>
        <v>0</v>
      </c>
      <c r="AG320" s="43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>
      <c r="A321" s="2" t="s">
        <v>3035</v>
      </c>
      <c r="B321" s="45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43" t="b" cm="1">
        <f t="array" ref="AE321">IFERROR(_xlfn.BYROW(TRACK_TYPES[[#This Row],[TRACK_TYPE_STANDARD_GAUGE_RAILTYPE_OHLE]:[TRACK_TYPE_STANDARD_GAUGE_RAILTYPE_NONE]],_xlfn.LAMBDA(_xlpm.r,OR(_xlpm.r))),FALSE)</f>
        <v>1</v>
      </c>
      <c r="AF321" s="43" t="b" cm="1">
        <f t="array" ref="AF321">IFERROR(_xlfn.BYROW(TRACK_TYPES[[#This Row],[TRACK_TYPE_NARROW_GAUGE_RAILTYPE_OHLE]:[TRACK_TYPE_NARROW_GAUGE_RAILTYPE_NONE]],_xlfn.LAMBDA(_xlpm.r,OR(_xlpm.r))),FALSE)</f>
        <v>0</v>
      </c>
      <c r="AG321" s="43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3036</v>
      </c>
      <c r="B322" s="45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43" t="b" cm="1">
        <f t="array" ref="AE322">IFERROR(_xlfn.BYROW(TRACK_TYPES[[#This Row],[TRACK_TYPE_STANDARD_GAUGE_RAILTYPE_OHLE]:[TRACK_TYPE_STANDARD_GAUGE_RAILTYPE_NONE]],_xlfn.LAMBDA(_xlpm.r,OR(_xlpm.r))),FALSE)</f>
        <v>1</v>
      </c>
      <c r="AF322" s="43" t="b" cm="1">
        <f t="array" ref="AF322">IFERROR(_xlfn.BYROW(TRACK_TYPES[[#This Row],[TRACK_TYPE_NARROW_GAUGE_RAILTYPE_OHLE]:[TRACK_TYPE_NARROW_GAUGE_RAILTYPE_NONE]],_xlfn.LAMBDA(_xlpm.r,OR(_xlpm.r))),FALSE)</f>
        <v>0</v>
      </c>
      <c r="AG322" s="43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3037</v>
      </c>
      <c r="B323" s="45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43" t="b" cm="1">
        <f t="array" ref="AE323">IFERROR(_xlfn.BYROW(TRACK_TYPES[[#This Row],[TRACK_TYPE_STANDARD_GAUGE_RAILTYPE_OHLE]:[TRACK_TYPE_STANDARD_GAUGE_RAILTYPE_NONE]],_xlfn.LAMBDA(_xlpm.r,OR(_xlpm.r))),FALSE)</f>
        <v>1</v>
      </c>
      <c r="AF323" s="43" t="b" cm="1">
        <f t="array" ref="AF323">IFERROR(_xlfn.BYROW(TRACK_TYPES[[#This Row],[TRACK_TYPE_NARROW_GAUGE_RAILTYPE_OHLE]:[TRACK_TYPE_NARROW_GAUGE_RAILTYPE_NONE]],_xlfn.LAMBDA(_xlpm.r,OR(_xlpm.r))),FALSE)</f>
        <v>0</v>
      </c>
      <c r="AG323" s="43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3038</v>
      </c>
      <c r="B324" s="45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43" t="b" cm="1">
        <f t="array" ref="AE324">IFERROR(_xlfn.BYROW(TRACK_TYPES[[#This Row],[TRACK_TYPE_STANDARD_GAUGE_RAILTYPE_OHLE]:[TRACK_TYPE_STANDARD_GAUGE_RAILTYPE_NONE]],_xlfn.LAMBDA(_xlpm.r,OR(_xlpm.r))),FALSE)</f>
        <v>1</v>
      </c>
      <c r="AF324" s="43" t="b" cm="1">
        <f t="array" ref="AF324">IFERROR(_xlfn.BYROW(TRACK_TYPES[[#This Row],[TRACK_TYPE_NARROW_GAUGE_RAILTYPE_OHLE]:[TRACK_TYPE_NARROW_GAUGE_RAILTYPE_NONE]],_xlfn.LAMBDA(_xlpm.r,OR(_xlpm.r))),FALSE)</f>
        <v>0</v>
      </c>
      <c r="AG324" s="43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3039</v>
      </c>
      <c r="B325" s="45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43" t="b" cm="1">
        <f t="array" ref="AE325">IFERROR(_xlfn.BYROW(TRACK_TYPES[[#This Row],[TRACK_TYPE_STANDARD_GAUGE_RAILTYPE_OHLE]:[TRACK_TYPE_STANDARD_GAUGE_RAILTYPE_NONE]],_xlfn.LAMBDA(_xlpm.r,OR(_xlpm.r))),FALSE)</f>
        <v>1</v>
      </c>
      <c r="AF325" s="43" t="b" cm="1">
        <f t="array" ref="AF325">IFERROR(_xlfn.BYROW(TRACK_TYPES[[#This Row],[TRACK_TYPE_NARROW_GAUGE_RAILTYPE_OHLE]:[TRACK_TYPE_NARROW_GAUGE_RAILTYPE_NONE]],_xlfn.LAMBDA(_xlpm.r,OR(_xlpm.r))),FALSE)</f>
        <v>0</v>
      </c>
      <c r="AG325" s="43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3040</v>
      </c>
      <c r="B326" s="45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43" t="b" cm="1">
        <f t="array" ref="AE326">IFERROR(_xlfn.BYROW(TRACK_TYPES[[#This Row],[TRACK_TYPE_STANDARD_GAUGE_RAILTYPE_OHLE]:[TRACK_TYPE_STANDARD_GAUGE_RAILTYPE_NONE]],_xlfn.LAMBDA(_xlpm.r,OR(_xlpm.r))),FALSE)</f>
        <v>1</v>
      </c>
      <c r="AF326" s="43" t="b" cm="1">
        <f t="array" ref="AF326">IFERROR(_xlfn.BYROW(TRACK_TYPES[[#This Row],[TRACK_TYPE_NARROW_GAUGE_RAILTYPE_OHLE]:[TRACK_TYPE_NARROW_GAUGE_RAILTYPE_NONE]],_xlfn.LAMBDA(_xlpm.r,OR(_xlpm.r))),FALSE)</f>
        <v>0</v>
      </c>
      <c r="AG326" s="43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>
      <c r="A327" s="2" t="s">
        <v>3041</v>
      </c>
      <c r="B327" s="45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43" t="b" cm="1">
        <f t="array" ref="AE327">IFERROR(_xlfn.BYROW(TRACK_TYPES[[#This Row],[TRACK_TYPE_STANDARD_GAUGE_RAILTYPE_OHLE]:[TRACK_TYPE_STANDARD_GAUGE_RAILTYPE_NONE]],_xlfn.LAMBDA(_xlpm.r,OR(_xlpm.r))),FALSE)</f>
        <v>1</v>
      </c>
      <c r="AF327" s="43" t="b" cm="1">
        <f t="array" ref="AF327">IFERROR(_xlfn.BYROW(TRACK_TYPES[[#This Row],[TRACK_TYPE_NARROW_GAUGE_RAILTYPE_OHLE]:[TRACK_TYPE_NARROW_GAUGE_RAILTYPE_NONE]],_xlfn.LAMBDA(_xlpm.r,OR(_xlpm.r))),FALSE)</f>
        <v>0</v>
      </c>
      <c r="AG327" s="43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3042</v>
      </c>
      <c r="B328" s="45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43" t="b" cm="1">
        <f t="array" ref="AE328">IFERROR(_xlfn.BYROW(TRACK_TYPES[[#This Row],[TRACK_TYPE_STANDARD_GAUGE_RAILTYPE_OHLE]:[TRACK_TYPE_STANDARD_GAUGE_RAILTYPE_NONE]],_xlfn.LAMBDA(_xlpm.r,OR(_xlpm.r))),FALSE)</f>
        <v>1</v>
      </c>
      <c r="AF328" s="43" t="b" cm="1">
        <f t="array" ref="AF328">IFERROR(_xlfn.BYROW(TRACK_TYPES[[#This Row],[TRACK_TYPE_NARROW_GAUGE_RAILTYPE_OHLE]:[TRACK_TYPE_NARROW_GAUGE_RAILTYPE_NONE]],_xlfn.LAMBDA(_xlpm.r,OR(_xlpm.r))),FALSE)</f>
        <v>0</v>
      </c>
      <c r="AG328" s="43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3043</v>
      </c>
      <c r="B329" s="45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43" t="b" cm="1">
        <f t="array" ref="AE329">IFERROR(_xlfn.BYROW(TRACK_TYPES[[#This Row],[TRACK_TYPE_STANDARD_GAUGE_RAILTYPE_OHLE]:[TRACK_TYPE_STANDARD_GAUGE_RAILTYPE_NONE]],_xlfn.LAMBDA(_xlpm.r,OR(_xlpm.r))),FALSE)</f>
        <v>1</v>
      </c>
      <c r="AF329" s="43" t="b" cm="1">
        <f t="array" ref="AF329">IFERROR(_xlfn.BYROW(TRACK_TYPES[[#This Row],[TRACK_TYPE_NARROW_GAUGE_RAILTYPE_OHLE]:[TRACK_TYPE_NARROW_GAUGE_RAILTYPE_NONE]],_xlfn.LAMBDA(_xlpm.r,OR(_xlpm.r))),FALSE)</f>
        <v>0</v>
      </c>
      <c r="AG329" s="43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3044</v>
      </c>
      <c r="B330" s="45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43" t="b" cm="1">
        <f t="array" ref="AE330">IFERROR(_xlfn.BYROW(TRACK_TYPES[[#This Row],[TRACK_TYPE_STANDARD_GAUGE_RAILTYPE_OHLE]:[TRACK_TYPE_STANDARD_GAUGE_RAILTYPE_NONE]],_xlfn.LAMBDA(_xlpm.r,OR(_xlpm.r))),FALSE)</f>
        <v>1</v>
      </c>
      <c r="AF330" s="43" t="b" cm="1">
        <f t="array" ref="AF330">IFERROR(_xlfn.BYROW(TRACK_TYPES[[#This Row],[TRACK_TYPE_NARROW_GAUGE_RAILTYPE_OHLE]:[TRACK_TYPE_NARROW_GAUGE_RAILTYPE_NONE]],_xlfn.LAMBDA(_xlpm.r,OR(_xlpm.r))),FALSE)</f>
        <v>0</v>
      </c>
      <c r="AG330" s="43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3045</v>
      </c>
      <c r="B331" s="45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43" t="b" cm="1">
        <f t="array" ref="AE331">IFERROR(_xlfn.BYROW(TRACK_TYPES[[#This Row],[TRACK_TYPE_STANDARD_GAUGE_RAILTYPE_OHLE]:[TRACK_TYPE_STANDARD_GAUGE_RAILTYPE_NONE]],_xlfn.LAMBDA(_xlpm.r,OR(_xlpm.r))),FALSE)</f>
        <v>1</v>
      </c>
      <c r="AF331" s="43" t="b" cm="1">
        <f t="array" ref="AF331">IFERROR(_xlfn.BYROW(TRACK_TYPES[[#This Row],[TRACK_TYPE_NARROW_GAUGE_RAILTYPE_OHLE]:[TRACK_TYPE_NARROW_GAUGE_RAILTYPE_NONE]],_xlfn.LAMBDA(_xlpm.r,OR(_xlpm.r))),FALSE)</f>
        <v>0</v>
      </c>
      <c r="AG331" s="43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3046</v>
      </c>
      <c r="B332" s="45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43" t="b" cm="1">
        <f t="array" ref="AE332">IFERROR(_xlfn.BYROW(TRACK_TYPES[[#This Row],[TRACK_TYPE_STANDARD_GAUGE_RAILTYPE_OHLE]:[TRACK_TYPE_STANDARD_GAUGE_RAILTYPE_NONE]],_xlfn.LAMBDA(_xlpm.r,OR(_xlpm.r))),FALSE)</f>
        <v>1</v>
      </c>
      <c r="AF332" s="43" t="b" cm="1">
        <f t="array" ref="AF332">IFERROR(_xlfn.BYROW(TRACK_TYPES[[#This Row],[TRACK_TYPE_NARROW_GAUGE_RAILTYPE_OHLE]:[TRACK_TYPE_NARROW_GAUGE_RAILTYPE_NONE]],_xlfn.LAMBDA(_xlpm.r,OR(_xlpm.r))),FALSE)</f>
        <v>0</v>
      </c>
      <c r="AG332" s="43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3047</v>
      </c>
      <c r="B333" s="45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43" t="b" cm="1">
        <f t="array" ref="AE333">IFERROR(_xlfn.BYROW(TRACK_TYPES[[#This Row],[TRACK_TYPE_STANDARD_GAUGE_RAILTYPE_OHLE]:[TRACK_TYPE_STANDARD_GAUGE_RAILTYPE_NONE]],_xlfn.LAMBDA(_xlpm.r,OR(_xlpm.r))),FALSE)</f>
        <v>1</v>
      </c>
      <c r="AF333" s="43" t="b" cm="1">
        <f t="array" ref="AF333">IFERROR(_xlfn.BYROW(TRACK_TYPES[[#This Row],[TRACK_TYPE_NARROW_GAUGE_RAILTYPE_OHLE]:[TRACK_TYPE_NARROW_GAUGE_RAILTYPE_NONE]],_xlfn.LAMBDA(_xlpm.r,OR(_xlpm.r))),FALSE)</f>
        <v>0</v>
      </c>
      <c r="AG333" s="43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3048</v>
      </c>
      <c r="B334" s="45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43" t="b" cm="1">
        <f t="array" ref="AE334">IFERROR(_xlfn.BYROW(TRACK_TYPES[[#This Row],[TRACK_TYPE_STANDARD_GAUGE_RAILTYPE_OHLE]:[TRACK_TYPE_STANDARD_GAUGE_RAILTYPE_NONE]],_xlfn.LAMBDA(_xlpm.r,OR(_xlpm.r))),FALSE)</f>
        <v>1</v>
      </c>
      <c r="AF334" s="43" t="b" cm="1">
        <f t="array" ref="AF334">IFERROR(_xlfn.BYROW(TRACK_TYPES[[#This Row],[TRACK_TYPE_NARROW_GAUGE_RAILTYPE_OHLE]:[TRACK_TYPE_NARROW_GAUGE_RAILTYPE_NONE]],_xlfn.LAMBDA(_xlpm.r,OR(_xlpm.r))),FALSE)</f>
        <v>0</v>
      </c>
      <c r="AG334" s="43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3049</v>
      </c>
      <c r="B335" s="45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43" t="b" cm="1">
        <f t="array" ref="AE335">IFERROR(_xlfn.BYROW(TRACK_TYPES[[#This Row],[TRACK_TYPE_STANDARD_GAUGE_RAILTYPE_OHLE]:[TRACK_TYPE_STANDARD_GAUGE_RAILTYPE_NONE]],_xlfn.LAMBDA(_xlpm.r,OR(_xlpm.r))),FALSE)</f>
        <v>1</v>
      </c>
      <c r="AF335" s="43" t="b" cm="1">
        <f t="array" ref="AF335">IFERROR(_xlfn.BYROW(TRACK_TYPES[[#This Row],[TRACK_TYPE_NARROW_GAUGE_RAILTYPE_OHLE]:[TRACK_TYPE_NARROW_GAUGE_RAILTYPE_NONE]],_xlfn.LAMBDA(_xlpm.r,OR(_xlpm.r))),FALSE)</f>
        <v>0</v>
      </c>
      <c r="AG335" s="43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3050</v>
      </c>
      <c r="B336" s="45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43" t="b" cm="1">
        <f t="array" ref="AE336">IFERROR(_xlfn.BYROW(TRACK_TYPES[[#This Row],[TRACK_TYPE_STANDARD_GAUGE_RAILTYPE_OHLE]:[TRACK_TYPE_STANDARD_GAUGE_RAILTYPE_NONE]],_xlfn.LAMBDA(_xlpm.r,OR(_xlpm.r))),FALSE)</f>
        <v>0</v>
      </c>
      <c r="AF336" s="43" t="b" cm="1">
        <f t="array" ref="AF336">IFERROR(_xlfn.BYROW(TRACK_TYPES[[#This Row],[TRACK_TYPE_NARROW_GAUGE_RAILTYPE_OHLE]:[TRACK_TYPE_NARROW_GAUGE_RAILTYPE_NONE]],_xlfn.LAMBDA(_xlpm.r,OR(_xlpm.r))),FALSE)</f>
        <v>0</v>
      </c>
      <c r="AG336" s="43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3051</v>
      </c>
      <c r="B337" s="45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43" t="b" cm="1">
        <f t="array" ref="AE337">IFERROR(_xlfn.BYROW(TRACK_TYPES[[#This Row],[TRACK_TYPE_STANDARD_GAUGE_RAILTYPE_OHLE]:[TRACK_TYPE_STANDARD_GAUGE_RAILTYPE_NONE]],_xlfn.LAMBDA(_xlpm.r,OR(_xlpm.r))),FALSE)</f>
        <v>1</v>
      </c>
      <c r="AF337" s="43" t="b" cm="1">
        <f t="array" ref="AF337">IFERROR(_xlfn.BYROW(TRACK_TYPES[[#This Row],[TRACK_TYPE_NARROW_GAUGE_RAILTYPE_OHLE]:[TRACK_TYPE_NARROW_GAUGE_RAILTYPE_NONE]],_xlfn.LAMBDA(_xlpm.r,OR(_xlpm.r))),FALSE)</f>
        <v>0</v>
      </c>
      <c r="AG337" s="43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3052</v>
      </c>
      <c r="B338" s="45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43" t="b" cm="1">
        <f t="array" ref="AE338">IFERROR(_xlfn.BYROW(TRACK_TYPES[[#This Row],[TRACK_TYPE_STANDARD_GAUGE_RAILTYPE_OHLE]:[TRACK_TYPE_STANDARD_GAUGE_RAILTYPE_NONE]],_xlfn.LAMBDA(_xlpm.r,OR(_xlpm.r))),FALSE)</f>
        <v>1</v>
      </c>
      <c r="AF338" s="43" t="b" cm="1">
        <f t="array" ref="AF338">IFERROR(_xlfn.BYROW(TRACK_TYPES[[#This Row],[TRACK_TYPE_NARROW_GAUGE_RAILTYPE_OHLE]:[TRACK_TYPE_NARROW_GAUGE_RAILTYPE_NONE]],_xlfn.LAMBDA(_xlpm.r,OR(_xlpm.r))),FALSE)</f>
        <v>0</v>
      </c>
      <c r="AG338" s="43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3053</v>
      </c>
      <c r="B339" s="45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43" t="b" cm="1">
        <f t="array" ref="AE339">IFERROR(_xlfn.BYROW(TRACK_TYPES[[#This Row],[TRACK_TYPE_STANDARD_GAUGE_RAILTYPE_OHLE]:[TRACK_TYPE_STANDARD_GAUGE_RAILTYPE_NONE]],_xlfn.LAMBDA(_xlpm.r,OR(_xlpm.r))),FALSE)</f>
        <v>0</v>
      </c>
      <c r="AF339" s="43" t="b" cm="1">
        <f t="array" ref="AF339">IFERROR(_xlfn.BYROW(TRACK_TYPES[[#This Row],[TRACK_TYPE_NARROW_GAUGE_RAILTYPE_OHLE]:[TRACK_TYPE_NARROW_GAUGE_RAILTYPE_NONE]],_xlfn.LAMBDA(_xlpm.r,OR(_xlpm.r))),FALSE)</f>
        <v>0</v>
      </c>
      <c r="AG339" s="43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3054</v>
      </c>
      <c r="B340" s="45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43" t="b" cm="1">
        <f t="array" ref="AE340">IFERROR(_xlfn.BYROW(TRACK_TYPES[[#This Row],[TRACK_TYPE_STANDARD_GAUGE_RAILTYPE_OHLE]:[TRACK_TYPE_STANDARD_GAUGE_RAILTYPE_NONE]],_xlfn.LAMBDA(_xlpm.r,OR(_xlpm.r))),FALSE)</f>
        <v>1</v>
      </c>
      <c r="AF340" s="43" t="b" cm="1">
        <f t="array" ref="AF340">IFERROR(_xlfn.BYROW(TRACK_TYPES[[#This Row],[TRACK_TYPE_NARROW_GAUGE_RAILTYPE_OHLE]:[TRACK_TYPE_NARROW_GAUGE_RAILTYPE_NONE]],_xlfn.LAMBDA(_xlpm.r,OR(_xlpm.r))),FALSE)</f>
        <v>0</v>
      </c>
      <c r="AG340" s="43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3055</v>
      </c>
      <c r="B341" s="45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43" t="b" cm="1">
        <f t="array" ref="AE341">IFERROR(_xlfn.BYROW(TRACK_TYPES[[#This Row],[TRACK_TYPE_STANDARD_GAUGE_RAILTYPE_OHLE]:[TRACK_TYPE_STANDARD_GAUGE_RAILTYPE_NONE]],_xlfn.LAMBDA(_xlpm.r,OR(_xlpm.r))),FALSE)</f>
        <v>1</v>
      </c>
      <c r="AF341" s="43" t="b" cm="1">
        <f t="array" ref="AF341">IFERROR(_xlfn.BYROW(TRACK_TYPES[[#This Row],[TRACK_TYPE_NARROW_GAUGE_RAILTYPE_OHLE]:[TRACK_TYPE_NARROW_GAUGE_RAILTYPE_NONE]],_xlfn.LAMBDA(_xlpm.r,OR(_xlpm.r))),FALSE)</f>
        <v>0</v>
      </c>
      <c r="AG341" s="43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3056</v>
      </c>
      <c r="B342" s="45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43" t="b" cm="1">
        <f t="array" ref="AE342">IFERROR(_xlfn.BYROW(TRACK_TYPES[[#This Row],[TRACK_TYPE_STANDARD_GAUGE_RAILTYPE_OHLE]:[TRACK_TYPE_STANDARD_GAUGE_RAILTYPE_NONE]],_xlfn.LAMBDA(_xlpm.r,OR(_xlpm.r))),FALSE)</f>
        <v>1</v>
      </c>
      <c r="AF342" s="43" t="b" cm="1">
        <f t="array" ref="AF342">IFERROR(_xlfn.BYROW(TRACK_TYPES[[#This Row],[TRACK_TYPE_NARROW_GAUGE_RAILTYPE_OHLE]:[TRACK_TYPE_NARROW_GAUGE_RAILTYPE_NONE]],_xlfn.LAMBDA(_xlpm.r,OR(_xlpm.r))),FALSE)</f>
        <v>0</v>
      </c>
      <c r="AG342" s="43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3057</v>
      </c>
      <c r="B343" s="45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43" t="b" cm="1">
        <f t="array" ref="AE343">IFERROR(_xlfn.BYROW(TRACK_TYPES[[#This Row],[TRACK_TYPE_STANDARD_GAUGE_RAILTYPE_OHLE]:[TRACK_TYPE_STANDARD_GAUGE_RAILTYPE_NONE]],_xlfn.LAMBDA(_xlpm.r,OR(_xlpm.r))),FALSE)</f>
        <v>1</v>
      </c>
      <c r="AF343" s="43" t="b" cm="1">
        <f t="array" ref="AF343">IFERROR(_xlfn.BYROW(TRACK_TYPES[[#This Row],[TRACK_TYPE_NARROW_GAUGE_RAILTYPE_OHLE]:[TRACK_TYPE_NARROW_GAUGE_RAILTYPE_NONE]],_xlfn.LAMBDA(_xlpm.r,OR(_xlpm.r))),FALSE)</f>
        <v>0</v>
      </c>
      <c r="AG343" s="43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3058</v>
      </c>
      <c r="B344" s="45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43" t="b" cm="1">
        <f t="array" ref="AE344">IFERROR(_xlfn.BYROW(TRACK_TYPES[[#This Row],[TRACK_TYPE_STANDARD_GAUGE_RAILTYPE_OHLE]:[TRACK_TYPE_STANDARD_GAUGE_RAILTYPE_NONE]],_xlfn.LAMBDA(_xlpm.r,OR(_xlpm.r))),FALSE)</f>
        <v>1</v>
      </c>
      <c r="AF344" s="43" t="b" cm="1">
        <f t="array" ref="AF344">IFERROR(_xlfn.BYROW(TRACK_TYPES[[#This Row],[TRACK_TYPE_NARROW_GAUGE_RAILTYPE_OHLE]:[TRACK_TYPE_NARROW_GAUGE_RAILTYPE_NONE]],_xlfn.LAMBDA(_xlpm.r,OR(_xlpm.r))),FALSE)</f>
        <v>0</v>
      </c>
      <c r="AG344" s="43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3059</v>
      </c>
      <c r="B345" s="45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43" t="b" cm="1">
        <f t="array" ref="AE345">IFERROR(_xlfn.BYROW(TRACK_TYPES[[#This Row],[TRACK_TYPE_STANDARD_GAUGE_RAILTYPE_OHLE]:[TRACK_TYPE_STANDARD_GAUGE_RAILTYPE_NONE]],_xlfn.LAMBDA(_xlpm.r,OR(_xlpm.r))),FALSE)</f>
        <v>1</v>
      </c>
      <c r="AF345" s="43" t="b" cm="1">
        <f t="array" ref="AF345">IFERROR(_xlfn.BYROW(TRACK_TYPES[[#This Row],[TRACK_TYPE_NARROW_GAUGE_RAILTYPE_OHLE]:[TRACK_TYPE_NARROW_GAUGE_RAILTYPE_NONE]],_xlfn.LAMBDA(_xlpm.r,OR(_xlpm.r))),FALSE)</f>
        <v>0</v>
      </c>
      <c r="AG345" s="43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3060</v>
      </c>
      <c r="B346" s="45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43" t="b" cm="1">
        <f t="array" ref="AE346">IFERROR(_xlfn.BYROW(TRACK_TYPES[[#This Row],[TRACK_TYPE_STANDARD_GAUGE_RAILTYPE_OHLE]:[TRACK_TYPE_STANDARD_GAUGE_RAILTYPE_NONE]],_xlfn.LAMBDA(_xlpm.r,OR(_xlpm.r))),FALSE)</f>
        <v>1</v>
      </c>
      <c r="AF346" s="43" t="b" cm="1">
        <f t="array" ref="AF346">IFERROR(_xlfn.BYROW(TRACK_TYPES[[#This Row],[TRACK_TYPE_NARROW_GAUGE_RAILTYPE_OHLE]:[TRACK_TYPE_NARROW_GAUGE_RAILTYPE_NONE]],_xlfn.LAMBDA(_xlpm.r,OR(_xlpm.r))),FALSE)</f>
        <v>0</v>
      </c>
      <c r="AG346" s="43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3061</v>
      </c>
      <c r="B347" s="45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43" t="b" cm="1">
        <f t="array" ref="AE347">IFERROR(_xlfn.BYROW(TRACK_TYPES[[#This Row],[TRACK_TYPE_STANDARD_GAUGE_RAILTYPE_OHLE]:[TRACK_TYPE_STANDARD_GAUGE_RAILTYPE_NONE]],_xlfn.LAMBDA(_xlpm.r,OR(_xlpm.r))),FALSE)</f>
        <v>1</v>
      </c>
      <c r="AF347" s="43" t="b" cm="1">
        <f t="array" ref="AF347">IFERROR(_xlfn.BYROW(TRACK_TYPES[[#This Row],[TRACK_TYPE_NARROW_GAUGE_RAILTYPE_OHLE]:[TRACK_TYPE_NARROW_GAUGE_RAILTYPE_NONE]],_xlfn.LAMBDA(_xlpm.r,OR(_xlpm.r))),FALSE)</f>
        <v>0</v>
      </c>
      <c r="AG347" s="43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3062</v>
      </c>
      <c r="B348" s="45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43" t="b" cm="1">
        <f t="array" ref="AE348">IFERROR(_xlfn.BYROW(TRACK_TYPES[[#This Row],[TRACK_TYPE_STANDARD_GAUGE_RAILTYPE_OHLE]:[TRACK_TYPE_STANDARD_GAUGE_RAILTYPE_NONE]],_xlfn.LAMBDA(_xlpm.r,OR(_xlpm.r))),FALSE)</f>
        <v>1</v>
      </c>
      <c r="AF348" s="43" t="b" cm="1">
        <f t="array" ref="AF348">IFERROR(_xlfn.BYROW(TRACK_TYPES[[#This Row],[TRACK_TYPE_NARROW_GAUGE_RAILTYPE_OHLE]:[TRACK_TYPE_NARROW_GAUGE_RAILTYPE_NONE]],_xlfn.LAMBDA(_xlpm.r,OR(_xlpm.r))),FALSE)</f>
        <v>0</v>
      </c>
      <c r="AG348" s="43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3063</v>
      </c>
      <c r="B349" s="45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43" t="b" cm="1">
        <f t="array" ref="AE349">IFERROR(_xlfn.BYROW(TRACK_TYPES[[#This Row],[TRACK_TYPE_STANDARD_GAUGE_RAILTYPE_OHLE]:[TRACK_TYPE_STANDARD_GAUGE_RAILTYPE_NONE]],_xlfn.LAMBDA(_xlpm.r,OR(_xlpm.r))),FALSE)</f>
        <v>1</v>
      </c>
      <c r="AF349" s="43" t="b" cm="1">
        <f t="array" ref="AF349">IFERROR(_xlfn.BYROW(TRACK_TYPES[[#This Row],[TRACK_TYPE_NARROW_GAUGE_RAILTYPE_OHLE]:[TRACK_TYPE_NARROW_GAUGE_RAILTYPE_NONE]],_xlfn.LAMBDA(_xlpm.r,OR(_xlpm.r))),FALSE)</f>
        <v>0</v>
      </c>
      <c r="AG349" s="43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3064</v>
      </c>
      <c r="B350" s="45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43" t="b" cm="1">
        <f t="array" ref="AE350">IFERROR(_xlfn.BYROW(TRACK_TYPES[[#This Row],[TRACK_TYPE_STANDARD_GAUGE_RAILTYPE_OHLE]:[TRACK_TYPE_STANDARD_GAUGE_RAILTYPE_NONE]],_xlfn.LAMBDA(_xlpm.r,OR(_xlpm.r))),FALSE)</f>
        <v>1</v>
      </c>
      <c r="AF350" s="43" t="b" cm="1">
        <f t="array" ref="AF350">IFERROR(_xlfn.BYROW(TRACK_TYPES[[#This Row],[TRACK_TYPE_NARROW_GAUGE_RAILTYPE_OHLE]:[TRACK_TYPE_NARROW_GAUGE_RAILTYPE_NONE]],_xlfn.LAMBDA(_xlpm.r,OR(_xlpm.r))),FALSE)</f>
        <v>0</v>
      </c>
      <c r="AG350" s="43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3065</v>
      </c>
      <c r="B351" s="45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43" t="b" cm="1">
        <f t="array" ref="AE351">IFERROR(_xlfn.BYROW(TRACK_TYPES[[#This Row],[TRACK_TYPE_STANDARD_GAUGE_RAILTYPE_OHLE]:[TRACK_TYPE_STANDARD_GAUGE_RAILTYPE_NONE]],_xlfn.LAMBDA(_xlpm.r,OR(_xlpm.r))),FALSE)</f>
        <v>1</v>
      </c>
      <c r="AF351" s="43" t="b" cm="1">
        <f t="array" ref="AF351">IFERROR(_xlfn.BYROW(TRACK_TYPES[[#This Row],[TRACK_TYPE_NARROW_GAUGE_RAILTYPE_OHLE]:[TRACK_TYPE_NARROW_GAUGE_RAILTYPE_NONE]],_xlfn.LAMBDA(_xlpm.r,OR(_xlpm.r))),FALSE)</f>
        <v>0</v>
      </c>
      <c r="AG351" s="43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3066</v>
      </c>
      <c r="B352" s="45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43" t="b" cm="1">
        <f t="array" ref="AE352">IFERROR(_xlfn.BYROW(TRACK_TYPES[[#This Row],[TRACK_TYPE_STANDARD_GAUGE_RAILTYPE_OHLE]:[TRACK_TYPE_STANDARD_GAUGE_RAILTYPE_NONE]],_xlfn.LAMBDA(_xlpm.r,OR(_xlpm.r))),FALSE)</f>
        <v>1</v>
      </c>
      <c r="AF352" s="43" t="b" cm="1">
        <f t="array" ref="AF352">IFERROR(_xlfn.BYROW(TRACK_TYPES[[#This Row],[TRACK_TYPE_NARROW_GAUGE_RAILTYPE_OHLE]:[TRACK_TYPE_NARROW_GAUGE_RAILTYPE_NONE]],_xlfn.LAMBDA(_xlpm.r,OR(_xlpm.r))),FALSE)</f>
        <v>0</v>
      </c>
      <c r="AG352" s="43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3067</v>
      </c>
      <c r="B353" s="45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43" t="b" cm="1">
        <f t="array" ref="AE353">IFERROR(_xlfn.BYROW(TRACK_TYPES[[#This Row],[TRACK_TYPE_STANDARD_GAUGE_RAILTYPE_OHLE]:[TRACK_TYPE_STANDARD_GAUGE_RAILTYPE_NONE]],_xlfn.LAMBDA(_xlpm.r,OR(_xlpm.r))),FALSE)</f>
        <v>1</v>
      </c>
      <c r="AF353" s="43" t="b" cm="1">
        <f t="array" ref="AF353">IFERROR(_xlfn.BYROW(TRACK_TYPES[[#This Row],[TRACK_TYPE_NARROW_GAUGE_RAILTYPE_OHLE]:[TRACK_TYPE_NARROW_GAUGE_RAILTYPE_NONE]],_xlfn.LAMBDA(_xlpm.r,OR(_xlpm.r))),FALSE)</f>
        <v>0</v>
      </c>
      <c r="AG353" s="43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3068</v>
      </c>
      <c r="B354" s="45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43" t="b" cm="1">
        <f t="array" ref="AE354">IFERROR(_xlfn.BYROW(TRACK_TYPES[[#This Row],[TRACK_TYPE_STANDARD_GAUGE_RAILTYPE_OHLE]:[TRACK_TYPE_STANDARD_GAUGE_RAILTYPE_NONE]],_xlfn.LAMBDA(_xlpm.r,OR(_xlpm.r))),FALSE)</f>
        <v>0</v>
      </c>
      <c r="AF354" s="43" t="b" cm="1">
        <f t="array" ref="AF354">IFERROR(_xlfn.BYROW(TRACK_TYPES[[#This Row],[TRACK_TYPE_NARROW_GAUGE_RAILTYPE_OHLE]:[TRACK_TYPE_NARROW_GAUGE_RAILTYPE_NONE]],_xlfn.LAMBDA(_xlpm.r,OR(_xlpm.r))),FALSE)</f>
        <v>1</v>
      </c>
      <c r="AG354" s="43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3069</v>
      </c>
      <c r="B355" s="45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43" t="b" cm="1">
        <f t="array" ref="AE355">IFERROR(_xlfn.BYROW(TRACK_TYPES[[#This Row],[TRACK_TYPE_STANDARD_GAUGE_RAILTYPE_OHLE]:[TRACK_TYPE_STANDARD_GAUGE_RAILTYPE_NONE]],_xlfn.LAMBDA(_xlpm.r,OR(_xlpm.r))),FALSE)</f>
        <v>0</v>
      </c>
      <c r="AF355" s="43" t="b" cm="1">
        <f t="array" ref="AF355">IFERROR(_xlfn.BYROW(TRACK_TYPES[[#This Row],[TRACK_TYPE_NARROW_GAUGE_RAILTYPE_OHLE]:[TRACK_TYPE_NARROW_GAUGE_RAILTYPE_NONE]],_xlfn.LAMBDA(_xlpm.r,OR(_xlpm.r))),FALSE)</f>
        <v>1</v>
      </c>
      <c r="AG355" s="43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>
      <c r="A356" s="2" t="s">
        <v>3070</v>
      </c>
      <c r="B356" s="45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43" t="b" cm="1">
        <f t="array" ref="AE356">IFERROR(_xlfn.BYROW(TRACK_TYPES[[#This Row],[TRACK_TYPE_STANDARD_GAUGE_RAILTYPE_OHLE]:[TRACK_TYPE_STANDARD_GAUGE_RAILTYPE_NONE]],_xlfn.LAMBDA(_xlpm.r,OR(_xlpm.r))),FALSE)</f>
        <v>1</v>
      </c>
      <c r="AF356" s="43" t="b" cm="1">
        <f t="array" ref="AF356">IFERROR(_xlfn.BYROW(TRACK_TYPES[[#This Row],[TRACK_TYPE_NARROW_GAUGE_RAILTYPE_OHLE]:[TRACK_TYPE_NARROW_GAUGE_RAILTYPE_NONE]],_xlfn.LAMBDA(_xlpm.r,OR(_xlpm.r))),FALSE)</f>
        <v>0</v>
      </c>
      <c r="AG356" s="43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3071</v>
      </c>
      <c r="B357" s="45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43" t="b" cm="1">
        <f t="array" ref="AE357">IFERROR(_xlfn.BYROW(TRACK_TYPES[[#This Row],[TRACK_TYPE_STANDARD_GAUGE_RAILTYPE_OHLE]:[TRACK_TYPE_STANDARD_GAUGE_RAILTYPE_NONE]],_xlfn.LAMBDA(_xlpm.r,OR(_xlpm.r))),FALSE)</f>
        <v>1</v>
      </c>
      <c r="AF357" s="43" t="b" cm="1">
        <f t="array" ref="AF357">IFERROR(_xlfn.BYROW(TRACK_TYPES[[#This Row],[TRACK_TYPE_NARROW_GAUGE_RAILTYPE_OHLE]:[TRACK_TYPE_NARROW_GAUGE_RAILTYPE_NONE]],_xlfn.LAMBDA(_xlpm.r,OR(_xlpm.r))),FALSE)</f>
        <v>0</v>
      </c>
      <c r="AG357" s="43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3072</v>
      </c>
      <c r="B358" s="45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43" t="b" cm="1">
        <f t="array" ref="AE358">IFERROR(_xlfn.BYROW(TRACK_TYPES[[#This Row],[TRACK_TYPE_STANDARD_GAUGE_RAILTYPE_OHLE]:[TRACK_TYPE_STANDARD_GAUGE_RAILTYPE_NONE]],_xlfn.LAMBDA(_xlpm.r,OR(_xlpm.r))),FALSE)</f>
        <v>0</v>
      </c>
      <c r="AF358" s="43" t="b" cm="1">
        <f t="array" ref="AF358">IFERROR(_xlfn.BYROW(TRACK_TYPES[[#This Row],[TRACK_TYPE_NARROW_GAUGE_RAILTYPE_OHLE]:[TRACK_TYPE_NARROW_GAUGE_RAILTYPE_NONE]],_xlfn.LAMBDA(_xlpm.r,OR(_xlpm.r))),FALSE)</f>
        <v>0</v>
      </c>
      <c r="AG358" s="43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3073</v>
      </c>
      <c r="B359" s="45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43" t="b" cm="1">
        <f t="array" ref="AE359">IFERROR(_xlfn.BYROW(TRACK_TYPES[[#This Row],[TRACK_TYPE_STANDARD_GAUGE_RAILTYPE_OHLE]:[TRACK_TYPE_STANDARD_GAUGE_RAILTYPE_NONE]],_xlfn.LAMBDA(_xlpm.r,OR(_xlpm.r))),FALSE)</f>
        <v>1</v>
      </c>
      <c r="AF359" s="43" t="b" cm="1">
        <f t="array" ref="AF359">IFERROR(_xlfn.BYROW(TRACK_TYPES[[#This Row],[TRACK_TYPE_NARROW_GAUGE_RAILTYPE_OHLE]:[TRACK_TYPE_NARROW_GAUGE_RAILTYPE_NONE]],_xlfn.LAMBDA(_xlpm.r,OR(_xlpm.r))),FALSE)</f>
        <v>0</v>
      </c>
      <c r="AG359" s="43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3074</v>
      </c>
      <c r="B360" s="45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43" t="b" cm="1">
        <f t="array" ref="AE360">IFERROR(_xlfn.BYROW(TRACK_TYPES[[#This Row],[TRACK_TYPE_STANDARD_GAUGE_RAILTYPE_OHLE]:[TRACK_TYPE_STANDARD_GAUGE_RAILTYPE_NONE]],_xlfn.LAMBDA(_xlpm.r,OR(_xlpm.r))),FALSE)</f>
        <v>1</v>
      </c>
      <c r="AF360" s="43" t="b" cm="1">
        <f t="array" ref="AF360">IFERROR(_xlfn.BYROW(TRACK_TYPES[[#This Row],[TRACK_TYPE_NARROW_GAUGE_RAILTYPE_OHLE]:[TRACK_TYPE_NARROW_GAUGE_RAILTYPE_NONE]],_xlfn.LAMBDA(_xlpm.r,OR(_xlpm.r))),FALSE)</f>
        <v>0</v>
      </c>
      <c r="AG360" s="43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3075</v>
      </c>
      <c r="B361" s="45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43" t="b" cm="1">
        <f t="array" ref="AE361">IFERROR(_xlfn.BYROW(TRACK_TYPES[[#This Row],[TRACK_TYPE_STANDARD_GAUGE_RAILTYPE_OHLE]:[TRACK_TYPE_STANDARD_GAUGE_RAILTYPE_NONE]],_xlfn.LAMBDA(_xlpm.r,OR(_xlpm.r))),FALSE)</f>
        <v>0</v>
      </c>
      <c r="AF361" s="43" t="b" cm="1">
        <f t="array" ref="AF361">IFERROR(_xlfn.BYROW(TRACK_TYPES[[#This Row],[TRACK_TYPE_NARROW_GAUGE_RAILTYPE_OHLE]:[TRACK_TYPE_NARROW_GAUGE_RAILTYPE_NONE]],_xlfn.LAMBDA(_xlpm.r,OR(_xlpm.r))),FALSE)</f>
        <v>1</v>
      </c>
      <c r="AG361" s="43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3076</v>
      </c>
      <c r="B362" s="45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43" t="b" cm="1">
        <f t="array" ref="AE362">IFERROR(_xlfn.BYROW(TRACK_TYPES[[#This Row],[TRACK_TYPE_STANDARD_GAUGE_RAILTYPE_OHLE]:[TRACK_TYPE_STANDARD_GAUGE_RAILTYPE_NONE]],_xlfn.LAMBDA(_xlpm.r,OR(_xlpm.r))),FALSE)</f>
        <v>0</v>
      </c>
      <c r="AF362" s="43" t="b" cm="1">
        <f t="array" ref="AF362">IFERROR(_xlfn.BYROW(TRACK_TYPES[[#This Row],[TRACK_TYPE_NARROW_GAUGE_RAILTYPE_OHLE]:[TRACK_TYPE_NARROW_GAUGE_RAILTYPE_NONE]],_xlfn.LAMBDA(_xlpm.r,OR(_xlpm.r))),FALSE)</f>
        <v>0</v>
      </c>
      <c r="AG362" s="43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3077</v>
      </c>
      <c r="B363" s="45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43" t="b" cm="1">
        <f t="array" ref="AE363">IFERROR(_xlfn.BYROW(TRACK_TYPES[[#This Row],[TRACK_TYPE_STANDARD_GAUGE_RAILTYPE_OHLE]:[TRACK_TYPE_STANDARD_GAUGE_RAILTYPE_NONE]],_xlfn.LAMBDA(_xlpm.r,OR(_xlpm.r))),FALSE)</f>
        <v>1</v>
      </c>
      <c r="AF363" s="43" t="b" cm="1">
        <f t="array" ref="AF363">IFERROR(_xlfn.BYROW(TRACK_TYPES[[#This Row],[TRACK_TYPE_NARROW_GAUGE_RAILTYPE_OHLE]:[TRACK_TYPE_NARROW_GAUGE_RAILTYPE_NONE]],_xlfn.LAMBDA(_xlpm.r,OR(_xlpm.r))),FALSE)</f>
        <v>0</v>
      </c>
      <c r="AG363" s="43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3078</v>
      </c>
      <c r="B364" s="45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43" t="b" cm="1">
        <f t="array" ref="AE364">IFERROR(_xlfn.BYROW(TRACK_TYPES[[#This Row],[TRACK_TYPE_STANDARD_GAUGE_RAILTYPE_OHLE]:[TRACK_TYPE_STANDARD_GAUGE_RAILTYPE_NONE]],_xlfn.LAMBDA(_xlpm.r,OR(_xlpm.r))),FALSE)</f>
        <v>0</v>
      </c>
      <c r="AF364" s="43" t="b" cm="1">
        <f t="array" ref="AF364">IFERROR(_xlfn.BYROW(TRACK_TYPES[[#This Row],[TRACK_TYPE_NARROW_GAUGE_RAILTYPE_OHLE]:[TRACK_TYPE_NARROW_GAUGE_RAILTYPE_NONE]],_xlfn.LAMBDA(_xlpm.r,OR(_xlpm.r))),FALSE)</f>
        <v>1</v>
      </c>
      <c r="AG364" s="43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3079</v>
      </c>
      <c r="B365" s="45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43" t="b" cm="1">
        <f t="array" ref="AE365">IFERROR(_xlfn.BYROW(TRACK_TYPES[[#This Row],[TRACK_TYPE_STANDARD_GAUGE_RAILTYPE_OHLE]:[TRACK_TYPE_STANDARD_GAUGE_RAILTYPE_NONE]],_xlfn.LAMBDA(_xlpm.r,OR(_xlpm.r))),FALSE)</f>
        <v>1</v>
      </c>
      <c r="AF365" s="43" t="b" cm="1">
        <f t="array" ref="AF365">IFERROR(_xlfn.BYROW(TRACK_TYPES[[#This Row],[TRACK_TYPE_NARROW_GAUGE_RAILTYPE_OHLE]:[TRACK_TYPE_NARROW_GAUGE_RAILTYPE_NONE]],_xlfn.LAMBDA(_xlpm.r,OR(_xlpm.r))),FALSE)</f>
        <v>0</v>
      </c>
      <c r="AG365" s="43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3080</v>
      </c>
      <c r="B366" s="45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43" t="b" cm="1">
        <f t="array" ref="AE366">IFERROR(_xlfn.BYROW(TRACK_TYPES[[#This Row],[TRACK_TYPE_STANDARD_GAUGE_RAILTYPE_OHLE]:[TRACK_TYPE_STANDARD_GAUGE_RAILTYPE_NONE]],_xlfn.LAMBDA(_xlpm.r,OR(_xlpm.r))),FALSE)</f>
        <v>1</v>
      </c>
      <c r="AF366" s="43" t="b" cm="1">
        <f t="array" ref="AF366">IFERROR(_xlfn.BYROW(TRACK_TYPES[[#This Row],[TRACK_TYPE_NARROW_GAUGE_RAILTYPE_OHLE]:[TRACK_TYPE_NARROW_GAUGE_RAILTYPE_NONE]],_xlfn.LAMBDA(_xlpm.r,OR(_xlpm.r))),FALSE)</f>
        <v>0</v>
      </c>
      <c r="AG366" s="43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3081</v>
      </c>
      <c r="B367" s="45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43" t="b" cm="1">
        <f t="array" ref="AE367">IFERROR(_xlfn.BYROW(TRACK_TYPES[[#This Row],[TRACK_TYPE_STANDARD_GAUGE_RAILTYPE_OHLE]:[TRACK_TYPE_STANDARD_GAUGE_RAILTYPE_NONE]],_xlfn.LAMBDA(_xlpm.r,OR(_xlpm.r))),FALSE)</f>
        <v>1</v>
      </c>
      <c r="AF367" s="43" t="b" cm="1">
        <f t="array" ref="AF367">IFERROR(_xlfn.BYROW(TRACK_TYPES[[#This Row],[TRACK_TYPE_NARROW_GAUGE_RAILTYPE_OHLE]:[TRACK_TYPE_NARROW_GAUGE_RAILTYPE_NONE]],_xlfn.LAMBDA(_xlpm.r,OR(_xlpm.r))),FALSE)</f>
        <v>0</v>
      </c>
      <c r="AG367" s="43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3082</v>
      </c>
      <c r="B368" s="45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43" t="b" cm="1">
        <f t="array" ref="AE368">IFERROR(_xlfn.BYROW(TRACK_TYPES[[#This Row],[TRACK_TYPE_STANDARD_GAUGE_RAILTYPE_OHLE]:[TRACK_TYPE_STANDARD_GAUGE_RAILTYPE_NONE]],_xlfn.LAMBDA(_xlpm.r,OR(_xlpm.r))),FALSE)</f>
        <v>1</v>
      </c>
      <c r="AF368" s="43" t="b" cm="1">
        <f t="array" ref="AF368">IFERROR(_xlfn.BYROW(TRACK_TYPES[[#This Row],[TRACK_TYPE_NARROW_GAUGE_RAILTYPE_OHLE]:[TRACK_TYPE_NARROW_GAUGE_RAILTYPE_NONE]],_xlfn.LAMBDA(_xlpm.r,OR(_xlpm.r))),FALSE)</f>
        <v>0</v>
      </c>
      <c r="AG368" s="43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3083</v>
      </c>
      <c r="B369" s="45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43" t="b" cm="1">
        <f t="array" ref="AE369">IFERROR(_xlfn.BYROW(TRACK_TYPES[[#This Row],[TRACK_TYPE_STANDARD_GAUGE_RAILTYPE_OHLE]:[TRACK_TYPE_STANDARD_GAUGE_RAILTYPE_NONE]],_xlfn.LAMBDA(_xlpm.r,OR(_xlpm.r))),FALSE)</f>
        <v>0</v>
      </c>
      <c r="AF369" s="43" t="b" cm="1">
        <f t="array" ref="AF369">IFERROR(_xlfn.BYROW(TRACK_TYPES[[#This Row],[TRACK_TYPE_NARROW_GAUGE_RAILTYPE_OHLE]:[TRACK_TYPE_NARROW_GAUGE_RAILTYPE_NONE]],_xlfn.LAMBDA(_xlpm.r,OR(_xlpm.r))),FALSE)</f>
        <v>0</v>
      </c>
      <c r="AG369" s="43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3084</v>
      </c>
      <c r="B370" s="45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43" t="b" cm="1">
        <f t="array" ref="AE370">IFERROR(_xlfn.BYROW(TRACK_TYPES[[#This Row],[TRACK_TYPE_STANDARD_GAUGE_RAILTYPE_OHLE]:[TRACK_TYPE_STANDARD_GAUGE_RAILTYPE_NONE]],_xlfn.LAMBDA(_xlpm.r,OR(_xlpm.r))),FALSE)</f>
        <v>1</v>
      </c>
      <c r="AF370" s="43" t="b" cm="1">
        <f t="array" ref="AF370">IFERROR(_xlfn.BYROW(TRACK_TYPES[[#This Row],[TRACK_TYPE_NARROW_GAUGE_RAILTYPE_OHLE]:[TRACK_TYPE_NARROW_GAUGE_RAILTYPE_NONE]],_xlfn.LAMBDA(_xlpm.r,OR(_xlpm.r))),FALSE)</f>
        <v>0</v>
      </c>
      <c r="AG370" s="43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3085</v>
      </c>
      <c r="B371" s="45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43" t="b" cm="1">
        <f t="array" ref="AE371">IFERROR(_xlfn.BYROW(TRACK_TYPES[[#This Row],[TRACK_TYPE_STANDARD_GAUGE_RAILTYPE_OHLE]:[TRACK_TYPE_STANDARD_GAUGE_RAILTYPE_NONE]],_xlfn.LAMBDA(_xlpm.r,OR(_xlpm.r))),FALSE)</f>
        <v>0</v>
      </c>
      <c r="AF371" s="43" t="b" cm="1">
        <f t="array" ref="AF371">IFERROR(_xlfn.BYROW(TRACK_TYPES[[#This Row],[TRACK_TYPE_NARROW_GAUGE_RAILTYPE_OHLE]:[TRACK_TYPE_NARROW_GAUGE_RAILTYPE_NONE]],_xlfn.LAMBDA(_xlpm.r,OR(_xlpm.r))),FALSE)</f>
        <v>1</v>
      </c>
      <c r="AG371" s="43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3086</v>
      </c>
      <c r="B372" s="45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43" t="b" cm="1">
        <f t="array" ref="AE372">IFERROR(_xlfn.BYROW(TRACK_TYPES[[#This Row],[TRACK_TYPE_STANDARD_GAUGE_RAILTYPE_OHLE]:[TRACK_TYPE_STANDARD_GAUGE_RAILTYPE_NONE]],_xlfn.LAMBDA(_xlpm.r,OR(_xlpm.r))),FALSE)</f>
        <v>1</v>
      </c>
      <c r="AF372" s="43" t="b" cm="1">
        <f t="array" ref="AF372">IFERROR(_xlfn.BYROW(TRACK_TYPES[[#This Row],[TRACK_TYPE_NARROW_GAUGE_RAILTYPE_OHLE]:[TRACK_TYPE_NARROW_GAUGE_RAILTYPE_NONE]],_xlfn.LAMBDA(_xlpm.r,OR(_xlpm.r))),FALSE)</f>
        <v>0</v>
      </c>
      <c r="AG372" s="43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3087</v>
      </c>
      <c r="B373" s="45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43" t="b" cm="1">
        <f t="array" ref="AE373">IFERROR(_xlfn.BYROW(TRACK_TYPES[[#This Row],[TRACK_TYPE_STANDARD_GAUGE_RAILTYPE_OHLE]:[TRACK_TYPE_STANDARD_GAUGE_RAILTYPE_NONE]],_xlfn.LAMBDA(_xlpm.r,OR(_xlpm.r))),FALSE)</f>
        <v>1</v>
      </c>
      <c r="AF373" s="43" t="b" cm="1">
        <f t="array" ref="AF373">IFERROR(_xlfn.BYROW(TRACK_TYPES[[#This Row],[TRACK_TYPE_NARROW_GAUGE_RAILTYPE_OHLE]:[TRACK_TYPE_NARROW_GAUGE_RAILTYPE_NONE]],_xlfn.LAMBDA(_xlpm.r,OR(_xlpm.r))),FALSE)</f>
        <v>0</v>
      </c>
      <c r="AG373" s="43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3088</v>
      </c>
      <c r="B374" s="45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43" t="b" cm="1">
        <f t="array" ref="AE374">IFERROR(_xlfn.BYROW(TRACK_TYPES[[#This Row],[TRACK_TYPE_STANDARD_GAUGE_RAILTYPE_OHLE]:[TRACK_TYPE_STANDARD_GAUGE_RAILTYPE_NONE]],_xlfn.LAMBDA(_xlpm.r,OR(_xlpm.r))),FALSE)</f>
        <v>1</v>
      </c>
      <c r="AF374" s="43" t="b" cm="1">
        <f t="array" ref="AF374">IFERROR(_xlfn.BYROW(TRACK_TYPES[[#This Row],[TRACK_TYPE_NARROW_GAUGE_RAILTYPE_OHLE]:[TRACK_TYPE_NARROW_GAUGE_RAILTYPE_NONE]],_xlfn.LAMBDA(_xlpm.r,OR(_xlpm.r))),FALSE)</f>
        <v>0</v>
      </c>
      <c r="AG374" s="43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3089</v>
      </c>
      <c r="B375" s="45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43" t="b" cm="1">
        <f t="array" ref="AE375">IFERROR(_xlfn.BYROW(TRACK_TYPES[[#This Row],[TRACK_TYPE_STANDARD_GAUGE_RAILTYPE_OHLE]:[TRACK_TYPE_STANDARD_GAUGE_RAILTYPE_NONE]],_xlfn.LAMBDA(_xlpm.r,OR(_xlpm.r))),FALSE)</f>
        <v>1</v>
      </c>
      <c r="AF375" s="43" t="b" cm="1">
        <f t="array" ref="AF375">IFERROR(_xlfn.BYROW(TRACK_TYPES[[#This Row],[TRACK_TYPE_NARROW_GAUGE_RAILTYPE_OHLE]:[TRACK_TYPE_NARROW_GAUGE_RAILTYPE_NONE]],_xlfn.LAMBDA(_xlpm.r,OR(_xlpm.r))),FALSE)</f>
        <v>0</v>
      </c>
      <c r="AG375" s="43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3090</v>
      </c>
      <c r="B376" s="45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43" t="b" cm="1">
        <f t="array" ref="AE376">IFERROR(_xlfn.BYROW(TRACK_TYPES[[#This Row],[TRACK_TYPE_STANDARD_GAUGE_RAILTYPE_OHLE]:[TRACK_TYPE_STANDARD_GAUGE_RAILTYPE_NONE]],_xlfn.LAMBDA(_xlpm.r,OR(_xlpm.r))),FALSE)</f>
        <v>1</v>
      </c>
      <c r="AF376" s="43" t="b" cm="1">
        <f t="array" ref="AF376">IFERROR(_xlfn.BYROW(TRACK_TYPES[[#This Row],[TRACK_TYPE_NARROW_GAUGE_RAILTYPE_OHLE]:[TRACK_TYPE_NARROW_GAUGE_RAILTYPE_NONE]],_xlfn.LAMBDA(_xlpm.r,OR(_xlpm.r))),FALSE)</f>
        <v>0</v>
      </c>
      <c r="AG376" s="43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3091</v>
      </c>
      <c r="B377" s="45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43" t="b" cm="1">
        <f t="array" ref="AE377">IFERROR(_xlfn.BYROW(TRACK_TYPES[[#This Row],[TRACK_TYPE_STANDARD_GAUGE_RAILTYPE_OHLE]:[TRACK_TYPE_STANDARD_GAUGE_RAILTYPE_NONE]],_xlfn.LAMBDA(_xlpm.r,OR(_xlpm.r))),FALSE)</f>
        <v>1</v>
      </c>
      <c r="AF377" s="43" t="b" cm="1">
        <f t="array" ref="AF377">IFERROR(_xlfn.BYROW(TRACK_TYPES[[#This Row],[TRACK_TYPE_NARROW_GAUGE_RAILTYPE_OHLE]:[TRACK_TYPE_NARROW_GAUGE_RAILTYPE_NONE]],_xlfn.LAMBDA(_xlpm.r,OR(_xlpm.r))),FALSE)</f>
        <v>0</v>
      </c>
      <c r="AG377" s="43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3092</v>
      </c>
      <c r="B378" s="45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43" t="b" cm="1">
        <f t="array" ref="AE378">IFERROR(_xlfn.BYROW(TRACK_TYPES[[#This Row],[TRACK_TYPE_STANDARD_GAUGE_RAILTYPE_OHLE]:[TRACK_TYPE_STANDARD_GAUGE_RAILTYPE_NONE]],_xlfn.LAMBDA(_xlpm.r,OR(_xlpm.r))),FALSE)</f>
        <v>1</v>
      </c>
      <c r="AF378" s="43" t="b" cm="1">
        <f t="array" ref="AF378">IFERROR(_xlfn.BYROW(TRACK_TYPES[[#This Row],[TRACK_TYPE_NARROW_GAUGE_RAILTYPE_OHLE]:[TRACK_TYPE_NARROW_GAUGE_RAILTYPE_NONE]],_xlfn.LAMBDA(_xlpm.r,OR(_xlpm.r))),FALSE)</f>
        <v>0</v>
      </c>
      <c r="AG378" s="43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3093</v>
      </c>
      <c r="B379" s="45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43" t="b" cm="1">
        <f t="array" ref="AE379">IFERROR(_xlfn.BYROW(TRACK_TYPES[[#This Row],[TRACK_TYPE_STANDARD_GAUGE_RAILTYPE_OHLE]:[TRACK_TYPE_STANDARD_GAUGE_RAILTYPE_NONE]],_xlfn.LAMBDA(_xlpm.r,OR(_xlpm.r))),FALSE)</f>
        <v>1</v>
      </c>
      <c r="AF379" s="43" t="b" cm="1">
        <f t="array" ref="AF379">IFERROR(_xlfn.BYROW(TRACK_TYPES[[#This Row],[TRACK_TYPE_NARROW_GAUGE_RAILTYPE_OHLE]:[TRACK_TYPE_NARROW_GAUGE_RAILTYPE_NONE]],_xlfn.LAMBDA(_xlpm.r,OR(_xlpm.r))),FALSE)</f>
        <v>0</v>
      </c>
      <c r="AG379" s="43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3094</v>
      </c>
      <c r="B380" s="45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43" t="b" cm="1">
        <f t="array" ref="AE380">IFERROR(_xlfn.BYROW(TRACK_TYPES[[#This Row],[TRACK_TYPE_STANDARD_GAUGE_RAILTYPE_OHLE]:[TRACK_TYPE_STANDARD_GAUGE_RAILTYPE_NONE]],_xlfn.LAMBDA(_xlpm.r,OR(_xlpm.r))),FALSE)</f>
        <v>1</v>
      </c>
      <c r="AF380" s="43" t="b" cm="1">
        <f t="array" ref="AF380">IFERROR(_xlfn.BYROW(TRACK_TYPES[[#This Row],[TRACK_TYPE_NARROW_GAUGE_RAILTYPE_OHLE]:[TRACK_TYPE_NARROW_GAUGE_RAILTYPE_NONE]],_xlfn.LAMBDA(_xlpm.r,OR(_xlpm.r))),FALSE)</f>
        <v>0</v>
      </c>
      <c r="AG380" s="43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3095</v>
      </c>
      <c r="B381" s="45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43" t="b" cm="1">
        <f t="array" ref="AE381">IFERROR(_xlfn.BYROW(TRACK_TYPES[[#This Row],[TRACK_TYPE_STANDARD_GAUGE_RAILTYPE_OHLE]:[TRACK_TYPE_STANDARD_GAUGE_RAILTYPE_NONE]],_xlfn.LAMBDA(_xlpm.r,OR(_xlpm.r))),FALSE)</f>
        <v>0</v>
      </c>
      <c r="AF381" s="43" t="b" cm="1">
        <f t="array" ref="AF381">IFERROR(_xlfn.BYROW(TRACK_TYPES[[#This Row],[TRACK_TYPE_NARROW_GAUGE_RAILTYPE_OHLE]:[TRACK_TYPE_NARROW_GAUGE_RAILTYPE_NONE]],_xlfn.LAMBDA(_xlpm.r,OR(_xlpm.r))),FALSE)</f>
        <v>0</v>
      </c>
      <c r="AG381" s="43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3096</v>
      </c>
      <c r="B382" s="45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43" t="b" cm="1">
        <f t="array" ref="AE382">IFERROR(_xlfn.BYROW(TRACK_TYPES[[#This Row],[TRACK_TYPE_STANDARD_GAUGE_RAILTYPE_OHLE]:[TRACK_TYPE_STANDARD_GAUGE_RAILTYPE_NONE]],_xlfn.LAMBDA(_xlpm.r,OR(_xlpm.r))),FALSE)</f>
        <v>0</v>
      </c>
      <c r="AF382" s="43" t="b" cm="1">
        <f t="array" ref="AF382">IFERROR(_xlfn.BYROW(TRACK_TYPES[[#This Row],[TRACK_TYPE_NARROW_GAUGE_RAILTYPE_OHLE]:[TRACK_TYPE_NARROW_GAUGE_RAILTYPE_NONE]],_xlfn.LAMBDA(_xlpm.r,OR(_xlpm.r))),FALSE)</f>
        <v>0</v>
      </c>
      <c r="AG382" s="43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3097</v>
      </c>
      <c r="B383" s="45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43" t="b" cm="1">
        <f t="array" ref="AE383">IFERROR(_xlfn.BYROW(TRACK_TYPES[[#This Row],[TRACK_TYPE_STANDARD_GAUGE_RAILTYPE_OHLE]:[TRACK_TYPE_STANDARD_GAUGE_RAILTYPE_NONE]],_xlfn.LAMBDA(_xlpm.r,OR(_xlpm.r))),FALSE)</f>
        <v>0</v>
      </c>
      <c r="AF383" s="43" t="b" cm="1">
        <f t="array" ref="AF383">IFERROR(_xlfn.BYROW(TRACK_TYPES[[#This Row],[TRACK_TYPE_NARROW_GAUGE_RAILTYPE_OHLE]:[TRACK_TYPE_NARROW_GAUGE_RAILTYPE_NONE]],_xlfn.LAMBDA(_xlpm.r,OR(_xlpm.r))),FALSE)</f>
        <v>0</v>
      </c>
      <c r="AG383" s="43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3098</v>
      </c>
      <c r="B384" s="45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43" t="b" cm="1">
        <f t="array" ref="AE384">IFERROR(_xlfn.BYROW(TRACK_TYPES[[#This Row],[TRACK_TYPE_STANDARD_GAUGE_RAILTYPE_OHLE]:[TRACK_TYPE_STANDARD_GAUGE_RAILTYPE_NONE]],_xlfn.LAMBDA(_xlpm.r,OR(_xlpm.r))),FALSE)</f>
        <v>1</v>
      </c>
      <c r="AF384" s="43" t="b" cm="1">
        <f t="array" ref="AF384">IFERROR(_xlfn.BYROW(TRACK_TYPES[[#This Row],[TRACK_TYPE_NARROW_GAUGE_RAILTYPE_OHLE]:[TRACK_TYPE_NARROW_GAUGE_RAILTYPE_NONE]],_xlfn.LAMBDA(_xlpm.r,OR(_xlpm.r))),FALSE)</f>
        <v>0</v>
      </c>
      <c r="AG384" s="43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3099</v>
      </c>
      <c r="B385" s="45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43" t="b" cm="1">
        <f t="array" ref="AE385">IFERROR(_xlfn.BYROW(TRACK_TYPES[[#This Row],[TRACK_TYPE_STANDARD_GAUGE_RAILTYPE_OHLE]:[TRACK_TYPE_STANDARD_GAUGE_RAILTYPE_NONE]],_xlfn.LAMBDA(_xlpm.r,OR(_xlpm.r))),FALSE)</f>
        <v>0</v>
      </c>
      <c r="AF385" s="43" t="b" cm="1">
        <f t="array" ref="AF385">IFERROR(_xlfn.BYROW(TRACK_TYPES[[#This Row],[TRACK_TYPE_NARROW_GAUGE_RAILTYPE_OHLE]:[TRACK_TYPE_NARROW_GAUGE_RAILTYPE_NONE]],_xlfn.LAMBDA(_xlpm.r,OR(_xlpm.r))),FALSE)</f>
        <v>0</v>
      </c>
      <c r="AG385" s="43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3100</v>
      </c>
      <c r="B386" s="45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43" t="b" cm="1">
        <f t="array" ref="AE386">IFERROR(_xlfn.BYROW(TRACK_TYPES[[#This Row],[TRACK_TYPE_STANDARD_GAUGE_RAILTYPE_OHLE]:[TRACK_TYPE_STANDARD_GAUGE_RAILTYPE_NONE]],_xlfn.LAMBDA(_xlpm.r,OR(_xlpm.r))),FALSE)</f>
        <v>0</v>
      </c>
      <c r="AF386" s="43" t="b" cm="1">
        <f t="array" ref="AF386">IFERROR(_xlfn.BYROW(TRACK_TYPES[[#This Row],[TRACK_TYPE_NARROW_GAUGE_RAILTYPE_OHLE]:[TRACK_TYPE_NARROW_GAUGE_RAILTYPE_NONE]],_xlfn.LAMBDA(_xlpm.r,OR(_xlpm.r))),FALSE)</f>
        <v>1</v>
      </c>
      <c r="AG386" s="43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3101</v>
      </c>
      <c r="B387" s="45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43" t="b" cm="1">
        <f t="array" ref="AE387">IFERROR(_xlfn.BYROW(TRACK_TYPES[[#This Row],[TRACK_TYPE_STANDARD_GAUGE_RAILTYPE_OHLE]:[TRACK_TYPE_STANDARD_GAUGE_RAILTYPE_NONE]],_xlfn.LAMBDA(_xlpm.r,OR(_xlpm.r))),FALSE)</f>
        <v>0</v>
      </c>
      <c r="AF387" s="43" t="b" cm="1">
        <f t="array" ref="AF387">IFERROR(_xlfn.BYROW(TRACK_TYPES[[#This Row],[TRACK_TYPE_NARROW_GAUGE_RAILTYPE_OHLE]:[TRACK_TYPE_NARROW_GAUGE_RAILTYPE_NONE]],_xlfn.LAMBDA(_xlpm.r,OR(_xlpm.r))),FALSE)</f>
        <v>0</v>
      </c>
      <c r="AG387" s="43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3102</v>
      </c>
      <c r="B388" s="45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43" t="b" cm="1">
        <f t="array" ref="AE388">IFERROR(_xlfn.BYROW(TRACK_TYPES[[#This Row],[TRACK_TYPE_STANDARD_GAUGE_RAILTYPE_OHLE]:[TRACK_TYPE_STANDARD_GAUGE_RAILTYPE_NONE]],_xlfn.LAMBDA(_xlpm.r,OR(_xlpm.r))),FALSE)</f>
        <v>1</v>
      </c>
      <c r="AF388" s="43" t="b" cm="1">
        <f t="array" ref="AF388">IFERROR(_xlfn.BYROW(TRACK_TYPES[[#This Row],[TRACK_TYPE_NARROW_GAUGE_RAILTYPE_OHLE]:[TRACK_TYPE_NARROW_GAUGE_RAILTYPE_NONE]],_xlfn.LAMBDA(_xlpm.r,OR(_xlpm.r))),FALSE)</f>
        <v>0</v>
      </c>
      <c r="AG388" s="43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3103</v>
      </c>
      <c r="B389" s="45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43" t="b" cm="1">
        <f t="array" ref="AE389">IFERROR(_xlfn.BYROW(TRACK_TYPES[[#This Row],[TRACK_TYPE_STANDARD_GAUGE_RAILTYPE_OHLE]:[TRACK_TYPE_STANDARD_GAUGE_RAILTYPE_NONE]],_xlfn.LAMBDA(_xlpm.r,OR(_xlpm.r))),FALSE)</f>
        <v>1</v>
      </c>
      <c r="AF389" s="43" t="b" cm="1">
        <f t="array" ref="AF389">IFERROR(_xlfn.BYROW(TRACK_TYPES[[#This Row],[TRACK_TYPE_NARROW_GAUGE_RAILTYPE_OHLE]:[TRACK_TYPE_NARROW_GAUGE_RAILTYPE_NONE]],_xlfn.LAMBDA(_xlpm.r,OR(_xlpm.r))),FALSE)</f>
        <v>0</v>
      </c>
      <c r="AG389" s="43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3104</v>
      </c>
      <c r="B390" s="45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43" t="b" cm="1">
        <f t="array" ref="AE390">IFERROR(_xlfn.BYROW(TRACK_TYPES[[#This Row],[TRACK_TYPE_STANDARD_GAUGE_RAILTYPE_OHLE]:[TRACK_TYPE_STANDARD_GAUGE_RAILTYPE_NONE]],_xlfn.LAMBDA(_xlpm.r,OR(_xlpm.r))),FALSE)</f>
        <v>1</v>
      </c>
      <c r="AF390" s="43" t="b" cm="1">
        <f t="array" ref="AF390">IFERROR(_xlfn.BYROW(TRACK_TYPES[[#This Row],[TRACK_TYPE_NARROW_GAUGE_RAILTYPE_OHLE]:[TRACK_TYPE_NARROW_GAUGE_RAILTYPE_NONE]],_xlfn.LAMBDA(_xlpm.r,OR(_xlpm.r))),FALSE)</f>
        <v>0</v>
      </c>
      <c r="AG390" s="43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3105</v>
      </c>
      <c r="B391" s="45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43" t="b" cm="1">
        <f t="array" ref="AE391">IFERROR(_xlfn.BYROW(TRACK_TYPES[[#This Row],[TRACK_TYPE_STANDARD_GAUGE_RAILTYPE_OHLE]:[TRACK_TYPE_STANDARD_GAUGE_RAILTYPE_NONE]],_xlfn.LAMBDA(_xlpm.r,OR(_xlpm.r))),FALSE)</f>
        <v>1</v>
      </c>
      <c r="AF391" s="43" t="b" cm="1">
        <f t="array" ref="AF391">IFERROR(_xlfn.BYROW(TRACK_TYPES[[#This Row],[TRACK_TYPE_NARROW_GAUGE_RAILTYPE_OHLE]:[TRACK_TYPE_NARROW_GAUGE_RAILTYPE_NONE]],_xlfn.LAMBDA(_xlpm.r,OR(_xlpm.r))),FALSE)</f>
        <v>0</v>
      </c>
      <c r="AG391" s="43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3106</v>
      </c>
      <c r="B392" s="45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43" t="b" cm="1">
        <f t="array" ref="AE392">IFERROR(_xlfn.BYROW(TRACK_TYPES[[#This Row],[TRACK_TYPE_STANDARD_GAUGE_RAILTYPE_OHLE]:[TRACK_TYPE_STANDARD_GAUGE_RAILTYPE_NONE]],_xlfn.LAMBDA(_xlpm.r,OR(_xlpm.r))),FALSE)</f>
        <v>1</v>
      </c>
      <c r="AF392" s="43" t="b" cm="1">
        <f t="array" ref="AF392">IFERROR(_xlfn.BYROW(TRACK_TYPES[[#This Row],[TRACK_TYPE_NARROW_GAUGE_RAILTYPE_OHLE]:[TRACK_TYPE_NARROW_GAUGE_RAILTYPE_NONE]],_xlfn.LAMBDA(_xlpm.r,OR(_xlpm.r))),FALSE)</f>
        <v>0</v>
      </c>
      <c r="AG392" s="43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3107</v>
      </c>
      <c r="B393" s="45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43" t="b" cm="1">
        <f t="array" ref="AE393">IFERROR(_xlfn.BYROW(TRACK_TYPES[[#This Row],[TRACK_TYPE_STANDARD_GAUGE_RAILTYPE_OHLE]:[TRACK_TYPE_STANDARD_GAUGE_RAILTYPE_NONE]],_xlfn.LAMBDA(_xlpm.r,OR(_xlpm.r))),FALSE)</f>
        <v>1</v>
      </c>
      <c r="AF393" s="43" t="b" cm="1">
        <f t="array" ref="AF393">IFERROR(_xlfn.BYROW(TRACK_TYPES[[#This Row],[TRACK_TYPE_NARROW_GAUGE_RAILTYPE_OHLE]:[TRACK_TYPE_NARROW_GAUGE_RAILTYPE_NONE]],_xlfn.LAMBDA(_xlpm.r,OR(_xlpm.r))),FALSE)</f>
        <v>0</v>
      </c>
      <c r="AG393" s="43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3108</v>
      </c>
      <c r="B394" s="45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43" t="b" cm="1">
        <f t="array" ref="AE394">IFERROR(_xlfn.BYROW(TRACK_TYPES[[#This Row],[TRACK_TYPE_STANDARD_GAUGE_RAILTYPE_OHLE]:[TRACK_TYPE_STANDARD_GAUGE_RAILTYPE_NONE]],_xlfn.LAMBDA(_xlpm.r,OR(_xlpm.r))),FALSE)</f>
        <v>1</v>
      </c>
      <c r="AF394" s="43" t="b" cm="1">
        <f t="array" ref="AF394">IFERROR(_xlfn.BYROW(TRACK_TYPES[[#This Row],[TRACK_TYPE_NARROW_GAUGE_RAILTYPE_OHLE]:[TRACK_TYPE_NARROW_GAUGE_RAILTYPE_NONE]],_xlfn.LAMBDA(_xlpm.r,OR(_xlpm.r))),FALSE)</f>
        <v>0</v>
      </c>
      <c r="AG394" s="43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3109</v>
      </c>
      <c r="B395" s="45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43" t="b" cm="1">
        <f t="array" ref="AE395">IFERROR(_xlfn.BYROW(TRACK_TYPES[[#This Row],[TRACK_TYPE_STANDARD_GAUGE_RAILTYPE_OHLE]:[TRACK_TYPE_STANDARD_GAUGE_RAILTYPE_NONE]],_xlfn.LAMBDA(_xlpm.r,OR(_xlpm.r))),FALSE)</f>
        <v>1</v>
      </c>
      <c r="AF395" s="43" t="b" cm="1">
        <f t="array" ref="AF395">IFERROR(_xlfn.BYROW(TRACK_TYPES[[#This Row],[TRACK_TYPE_NARROW_GAUGE_RAILTYPE_OHLE]:[TRACK_TYPE_NARROW_GAUGE_RAILTYPE_NONE]],_xlfn.LAMBDA(_xlpm.r,OR(_xlpm.r))),FALSE)</f>
        <v>0</v>
      </c>
      <c r="AG395" s="43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3110</v>
      </c>
      <c r="B396" s="45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43" t="b" cm="1">
        <f t="array" ref="AE396">IFERROR(_xlfn.BYROW(TRACK_TYPES[[#This Row],[TRACK_TYPE_STANDARD_GAUGE_RAILTYPE_OHLE]:[TRACK_TYPE_STANDARD_GAUGE_RAILTYPE_NONE]],_xlfn.LAMBDA(_xlpm.r,OR(_xlpm.r))),FALSE)</f>
        <v>1</v>
      </c>
      <c r="AF396" s="43" t="b" cm="1">
        <f t="array" ref="AF396">IFERROR(_xlfn.BYROW(TRACK_TYPES[[#This Row],[TRACK_TYPE_NARROW_GAUGE_RAILTYPE_OHLE]:[TRACK_TYPE_NARROW_GAUGE_RAILTYPE_NONE]],_xlfn.LAMBDA(_xlpm.r,OR(_xlpm.r))),FALSE)</f>
        <v>0</v>
      </c>
      <c r="AG396" s="43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3111</v>
      </c>
      <c r="B397" s="45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43" t="b" cm="1">
        <f t="array" ref="AE397">IFERROR(_xlfn.BYROW(TRACK_TYPES[[#This Row],[TRACK_TYPE_STANDARD_GAUGE_RAILTYPE_OHLE]:[TRACK_TYPE_STANDARD_GAUGE_RAILTYPE_NONE]],_xlfn.LAMBDA(_xlpm.r,OR(_xlpm.r))),FALSE)</f>
        <v>1</v>
      </c>
      <c r="AF397" s="43" t="b" cm="1">
        <f t="array" ref="AF397">IFERROR(_xlfn.BYROW(TRACK_TYPES[[#This Row],[TRACK_TYPE_NARROW_GAUGE_RAILTYPE_OHLE]:[TRACK_TYPE_NARROW_GAUGE_RAILTYPE_NONE]],_xlfn.LAMBDA(_xlpm.r,OR(_xlpm.r))),FALSE)</f>
        <v>0</v>
      </c>
      <c r="AG397" s="43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3112</v>
      </c>
      <c r="B398" s="45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43" t="b" cm="1">
        <f t="array" ref="AE398">IFERROR(_xlfn.BYROW(TRACK_TYPES[[#This Row],[TRACK_TYPE_STANDARD_GAUGE_RAILTYPE_OHLE]:[TRACK_TYPE_STANDARD_GAUGE_RAILTYPE_NONE]],_xlfn.LAMBDA(_xlpm.r,OR(_xlpm.r))),FALSE)</f>
        <v>1</v>
      </c>
      <c r="AF398" s="43" t="b" cm="1">
        <f t="array" ref="AF398">IFERROR(_xlfn.BYROW(TRACK_TYPES[[#This Row],[TRACK_TYPE_NARROW_GAUGE_RAILTYPE_OHLE]:[TRACK_TYPE_NARROW_GAUGE_RAILTYPE_NONE]],_xlfn.LAMBDA(_xlpm.r,OR(_xlpm.r))),FALSE)</f>
        <v>0</v>
      </c>
      <c r="AG398" s="43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3113</v>
      </c>
      <c r="B399" s="45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43" t="b" cm="1">
        <f t="array" ref="AE399">IFERROR(_xlfn.BYROW(TRACK_TYPES[[#This Row],[TRACK_TYPE_STANDARD_GAUGE_RAILTYPE_OHLE]:[TRACK_TYPE_STANDARD_GAUGE_RAILTYPE_NONE]],_xlfn.LAMBDA(_xlpm.r,OR(_xlpm.r))),FALSE)</f>
        <v>1</v>
      </c>
      <c r="AF399" s="43" t="b" cm="1">
        <f t="array" ref="AF399">IFERROR(_xlfn.BYROW(TRACK_TYPES[[#This Row],[TRACK_TYPE_NARROW_GAUGE_RAILTYPE_OHLE]:[TRACK_TYPE_NARROW_GAUGE_RAILTYPE_NONE]],_xlfn.LAMBDA(_xlpm.r,OR(_xlpm.r))),FALSE)</f>
        <v>0</v>
      </c>
      <c r="AG399" s="43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3114</v>
      </c>
      <c r="B400" s="45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43" t="b" cm="1">
        <f t="array" ref="AE400">IFERROR(_xlfn.BYROW(TRACK_TYPES[[#This Row],[TRACK_TYPE_STANDARD_GAUGE_RAILTYPE_OHLE]:[TRACK_TYPE_STANDARD_GAUGE_RAILTYPE_NONE]],_xlfn.LAMBDA(_xlpm.r,OR(_xlpm.r))),FALSE)</f>
        <v>1</v>
      </c>
      <c r="AF400" s="43" t="b" cm="1">
        <f t="array" ref="AF400">IFERROR(_xlfn.BYROW(TRACK_TYPES[[#This Row],[TRACK_TYPE_NARROW_GAUGE_RAILTYPE_OHLE]:[TRACK_TYPE_NARROW_GAUGE_RAILTYPE_NONE]],_xlfn.LAMBDA(_xlpm.r,OR(_xlpm.r))),FALSE)</f>
        <v>0</v>
      </c>
      <c r="AG400" s="43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3115</v>
      </c>
      <c r="B401" s="45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43" t="b" cm="1">
        <f t="array" ref="AE401">IFERROR(_xlfn.BYROW(TRACK_TYPES[[#This Row],[TRACK_TYPE_STANDARD_GAUGE_RAILTYPE_OHLE]:[TRACK_TYPE_STANDARD_GAUGE_RAILTYPE_NONE]],_xlfn.LAMBDA(_xlpm.r,OR(_xlpm.r))),FALSE)</f>
        <v>1</v>
      </c>
      <c r="AF401" s="43" t="b" cm="1">
        <f t="array" ref="AF401">IFERROR(_xlfn.BYROW(TRACK_TYPES[[#This Row],[TRACK_TYPE_NARROW_GAUGE_RAILTYPE_OHLE]:[TRACK_TYPE_NARROW_GAUGE_RAILTYPE_NONE]],_xlfn.LAMBDA(_xlpm.r,OR(_xlpm.r))),FALSE)</f>
        <v>0</v>
      </c>
      <c r="AG401" s="43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3116</v>
      </c>
      <c r="B402" s="45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43" t="b" cm="1">
        <f t="array" ref="AE402">IFERROR(_xlfn.BYROW(TRACK_TYPES[[#This Row],[TRACK_TYPE_STANDARD_GAUGE_RAILTYPE_OHLE]:[TRACK_TYPE_STANDARD_GAUGE_RAILTYPE_NONE]],_xlfn.LAMBDA(_xlpm.r,OR(_xlpm.r))),FALSE)</f>
        <v>1</v>
      </c>
      <c r="AF402" s="43" t="b" cm="1">
        <f t="array" ref="AF402">IFERROR(_xlfn.BYROW(TRACK_TYPES[[#This Row],[TRACK_TYPE_NARROW_GAUGE_RAILTYPE_OHLE]:[TRACK_TYPE_NARROW_GAUGE_RAILTYPE_NONE]],_xlfn.LAMBDA(_xlpm.r,OR(_xlpm.r))),FALSE)</f>
        <v>0</v>
      </c>
      <c r="AG402" s="43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3117</v>
      </c>
      <c r="B403" s="45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43" t="b" cm="1">
        <f t="array" ref="AE403">IFERROR(_xlfn.BYROW(TRACK_TYPES[[#This Row],[TRACK_TYPE_STANDARD_GAUGE_RAILTYPE_OHLE]:[TRACK_TYPE_STANDARD_GAUGE_RAILTYPE_NONE]],_xlfn.LAMBDA(_xlpm.r,OR(_xlpm.r))),FALSE)</f>
        <v>1</v>
      </c>
      <c r="AF403" s="43" t="b" cm="1">
        <f t="array" ref="AF403">IFERROR(_xlfn.BYROW(TRACK_TYPES[[#This Row],[TRACK_TYPE_NARROW_GAUGE_RAILTYPE_OHLE]:[TRACK_TYPE_NARROW_GAUGE_RAILTYPE_NONE]],_xlfn.LAMBDA(_xlpm.r,OR(_xlpm.r))),FALSE)</f>
        <v>0</v>
      </c>
      <c r="AG403" s="43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3118</v>
      </c>
      <c r="B404" s="45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43" t="b" cm="1">
        <f t="array" ref="AE404">IFERROR(_xlfn.BYROW(TRACK_TYPES[[#This Row],[TRACK_TYPE_STANDARD_GAUGE_RAILTYPE_OHLE]:[TRACK_TYPE_STANDARD_GAUGE_RAILTYPE_NONE]],_xlfn.LAMBDA(_xlpm.r,OR(_xlpm.r))),FALSE)</f>
        <v>1</v>
      </c>
      <c r="AF404" s="43" t="b" cm="1">
        <f t="array" ref="AF404">IFERROR(_xlfn.BYROW(TRACK_TYPES[[#This Row],[TRACK_TYPE_NARROW_GAUGE_RAILTYPE_OHLE]:[TRACK_TYPE_NARROW_GAUGE_RAILTYPE_NONE]],_xlfn.LAMBDA(_xlpm.r,OR(_xlpm.r))),FALSE)</f>
        <v>0</v>
      </c>
      <c r="AG404" s="43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3119</v>
      </c>
      <c r="B405" s="45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43" t="b" cm="1">
        <f t="array" ref="AE405">IFERROR(_xlfn.BYROW(TRACK_TYPES[[#This Row],[TRACK_TYPE_STANDARD_GAUGE_RAILTYPE_OHLE]:[TRACK_TYPE_STANDARD_GAUGE_RAILTYPE_NONE]],_xlfn.LAMBDA(_xlpm.r,OR(_xlpm.r))),FALSE)</f>
        <v>1</v>
      </c>
      <c r="AF405" s="43" t="b" cm="1">
        <f t="array" ref="AF405">IFERROR(_xlfn.BYROW(TRACK_TYPES[[#This Row],[TRACK_TYPE_NARROW_GAUGE_RAILTYPE_OHLE]:[TRACK_TYPE_NARROW_GAUGE_RAILTYPE_NONE]],_xlfn.LAMBDA(_xlpm.r,OR(_xlpm.r))),FALSE)</f>
        <v>0</v>
      </c>
      <c r="AG405" s="43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3120</v>
      </c>
      <c r="B406" s="45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43" t="b" cm="1">
        <f t="array" ref="AE406">IFERROR(_xlfn.BYROW(TRACK_TYPES[[#This Row],[TRACK_TYPE_STANDARD_GAUGE_RAILTYPE_OHLE]:[TRACK_TYPE_STANDARD_GAUGE_RAILTYPE_NONE]],_xlfn.LAMBDA(_xlpm.r,OR(_xlpm.r))),FALSE)</f>
        <v>1</v>
      </c>
      <c r="AF406" s="43" t="b" cm="1">
        <f t="array" ref="AF406">IFERROR(_xlfn.BYROW(TRACK_TYPES[[#This Row],[TRACK_TYPE_NARROW_GAUGE_RAILTYPE_OHLE]:[TRACK_TYPE_NARROW_GAUGE_RAILTYPE_NONE]],_xlfn.LAMBDA(_xlpm.r,OR(_xlpm.r))),FALSE)</f>
        <v>0</v>
      </c>
      <c r="AG406" s="43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3121</v>
      </c>
      <c r="B407" s="45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43" t="b" cm="1">
        <f t="array" ref="AE407">IFERROR(_xlfn.BYROW(TRACK_TYPES[[#This Row],[TRACK_TYPE_STANDARD_GAUGE_RAILTYPE_OHLE]:[TRACK_TYPE_STANDARD_GAUGE_RAILTYPE_NONE]],_xlfn.LAMBDA(_xlpm.r,OR(_xlpm.r))),FALSE)</f>
        <v>1</v>
      </c>
      <c r="AF407" s="43" t="b" cm="1">
        <f t="array" ref="AF407">IFERROR(_xlfn.BYROW(TRACK_TYPES[[#This Row],[TRACK_TYPE_NARROW_GAUGE_RAILTYPE_OHLE]:[TRACK_TYPE_NARROW_GAUGE_RAILTYPE_NONE]],_xlfn.LAMBDA(_xlpm.r,OR(_xlpm.r))),FALSE)</f>
        <v>0</v>
      </c>
      <c r="AG407" s="43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3122</v>
      </c>
      <c r="B408" s="45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43" t="b" cm="1">
        <f t="array" ref="AE408">IFERROR(_xlfn.BYROW(TRACK_TYPES[[#This Row],[TRACK_TYPE_STANDARD_GAUGE_RAILTYPE_OHLE]:[TRACK_TYPE_STANDARD_GAUGE_RAILTYPE_NONE]],_xlfn.LAMBDA(_xlpm.r,OR(_xlpm.r))),FALSE)</f>
        <v>1</v>
      </c>
      <c r="AF408" s="43" t="b" cm="1">
        <f t="array" ref="AF408">IFERROR(_xlfn.BYROW(TRACK_TYPES[[#This Row],[TRACK_TYPE_NARROW_GAUGE_RAILTYPE_OHLE]:[TRACK_TYPE_NARROW_GAUGE_RAILTYPE_NONE]],_xlfn.LAMBDA(_xlpm.r,OR(_xlpm.r))),FALSE)</f>
        <v>0</v>
      </c>
      <c r="AG408" s="43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3123</v>
      </c>
      <c r="B409" s="45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43" t="b" cm="1">
        <f t="array" ref="AE409">IFERROR(_xlfn.BYROW(TRACK_TYPES[[#This Row],[TRACK_TYPE_STANDARD_GAUGE_RAILTYPE_OHLE]:[TRACK_TYPE_STANDARD_GAUGE_RAILTYPE_NONE]],_xlfn.LAMBDA(_xlpm.r,OR(_xlpm.r))),FALSE)</f>
        <v>1</v>
      </c>
      <c r="AF409" s="43" t="b" cm="1">
        <f t="array" ref="AF409">IFERROR(_xlfn.BYROW(TRACK_TYPES[[#This Row],[TRACK_TYPE_NARROW_GAUGE_RAILTYPE_OHLE]:[TRACK_TYPE_NARROW_GAUGE_RAILTYPE_NONE]],_xlfn.LAMBDA(_xlpm.r,OR(_xlpm.r))),FALSE)</f>
        <v>0</v>
      </c>
      <c r="AG409" s="43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3124</v>
      </c>
      <c r="B410" s="45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43" t="b" cm="1">
        <f t="array" ref="AE410">IFERROR(_xlfn.BYROW(TRACK_TYPES[[#This Row],[TRACK_TYPE_STANDARD_GAUGE_RAILTYPE_OHLE]:[TRACK_TYPE_STANDARD_GAUGE_RAILTYPE_NONE]],_xlfn.LAMBDA(_xlpm.r,OR(_xlpm.r))),FALSE)</f>
        <v>1</v>
      </c>
      <c r="AF410" s="43" t="b" cm="1">
        <f t="array" ref="AF410">IFERROR(_xlfn.BYROW(TRACK_TYPES[[#This Row],[TRACK_TYPE_NARROW_GAUGE_RAILTYPE_OHLE]:[TRACK_TYPE_NARROW_GAUGE_RAILTYPE_NONE]],_xlfn.LAMBDA(_xlpm.r,OR(_xlpm.r))),FALSE)</f>
        <v>0</v>
      </c>
      <c r="AG410" s="43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3125</v>
      </c>
      <c r="B411" s="45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43" t="b" cm="1">
        <f t="array" ref="AE411">IFERROR(_xlfn.BYROW(TRACK_TYPES[[#This Row],[TRACK_TYPE_STANDARD_GAUGE_RAILTYPE_OHLE]:[TRACK_TYPE_STANDARD_GAUGE_RAILTYPE_NONE]],_xlfn.LAMBDA(_xlpm.r,OR(_xlpm.r))),FALSE)</f>
        <v>1</v>
      </c>
      <c r="AF411" s="43" t="b" cm="1">
        <f t="array" ref="AF411">IFERROR(_xlfn.BYROW(TRACK_TYPES[[#This Row],[TRACK_TYPE_NARROW_GAUGE_RAILTYPE_OHLE]:[TRACK_TYPE_NARROW_GAUGE_RAILTYPE_NONE]],_xlfn.LAMBDA(_xlpm.r,OR(_xlpm.r))),FALSE)</f>
        <v>0</v>
      </c>
      <c r="AG411" s="43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3126</v>
      </c>
      <c r="B412" s="45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43" t="b" cm="1">
        <f t="array" ref="AE412">IFERROR(_xlfn.BYROW(TRACK_TYPES[[#This Row],[TRACK_TYPE_STANDARD_GAUGE_RAILTYPE_OHLE]:[TRACK_TYPE_STANDARD_GAUGE_RAILTYPE_NONE]],_xlfn.LAMBDA(_xlpm.r,OR(_xlpm.r))),FALSE)</f>
        <v>1</v>
      </c>
      <c r="AF412" s="43" t="b" cm="1">
        <f t="array" ref="AF412">IFERROR(_xlfn.BYROW(TRACK_TYPES[[#This Row],[TRACK_TYPE_NARROW_GAUGE_RAILTYPE_OHLE]:[TRACK_TYPE_NARROW_GAUGE_RAILTYPE_NONE]],_xlfn.LAMBDA(_xlpm.r,OR(_xlpm.r))),FALSE)</f>
        <v>0</v>
      </c>
      <c r="AG412" s="43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3127</v>
      </c>
      <c r="B413" s="45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43" t="b" cm="1">
        <f t="array" ref="AE413">IFERROR(_xlfn.BYROW(TRACK_TYPES[[#This Row],[TRACK_TYPE_STANDARD_GAUGE_RAILTYPE_OHLE]:[TRACK_TYPE_STANDARD_GAUGE_RAILTYPE_NONE]],_xlfn.LAMBDA(_xlpm.r,OR(_xlpm.r))),FALSE)</f>
        <v>1</v>
      </c>
      <c r="AF413" s="43" t="b" cm="1">
        <f t="array" ref="AF413">IFERROR(_xlfn.BYROW(TRACK_TYPES[[#This Row],[TRACK_TYPE_NARROW_GAUGE_RAILTYPE_OHLE]:[TRACK_TYPE_NARROW_GAUGE_RAILTYPE_NONE]],_xlfn.LAMBDA(_xlpm.r,OR(_xlpm.r))),FALSE)</f>
        <v>0</v>
      </c>
      <c r="AG413" s="43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3128</v>
      </c>
      <c r="B414" s="45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43" t="b" cm="1">
        <f t="array" ref="AE414">IFERROR(_xlfn.BYROW(TRACK_TYPES[[#This Row],[TRACK_TYPE_STANDARD_GAUGE_RAILTYPE_OHLE]:[TRACK_TYPE_STANDARD_GAUGE_RAILTYPE_NONE]],_xlfn.LAMBDA(_xlpm.r,OR(_xlpm.r))),FALSE)</f>
        <v>0</v>
      </c>
      <c r="AF414" s="43" t="b" cm="1">
        <f t="array" ref="AF414">IFERROR(_xlfn.BYROW(TRACK_TYPES[[#This Row],[TRACK_TYPE_NARROW_GAUGE_RAILTYPE_OHLE]:[TRACK_TYPE_NARROW_GAUGE_RAILTYPE_NONE]],_xlfn.LAMBDA(_xlpm.r,OR(_xlpm.r))),FALSE)</f>
        <v>1</v>
      </c>
      <c r="AG414" s="43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3129</v>
      </c>
      <c r="B415" s="45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43" t="b" cm="1">
        <f t="array" ref="AE415">IFERROR(_xlfn.BYROW(TRACK_TYPES[[#This Row],[TRACK_TYPE_STANDARD_GAUGE_RAILTYPE_OHLE]:[TRACK_TYPE_STANDARD_GAUGE_RAILTYPE_NONE]],_xlfn.LAMBDA(_xlpm.r,OR(_xlpm.r))),FALSE)</f>
        <v>1</v>
      </c>
      <c r="AF415" s="43" t="b" cm="1">
        <f t="array" ref="AF415">IFERROR(_xlfn.BYROW(TRACK_TYPES[[#This Row],[TRACK_TYPE_NARROW_GAUGE_RAILTYPE_OHLE]:[TRACK_TYPE_NARROW_GAUGE_RAILTYPE_NONE]],_xlfn.LAMBDA(_xlpm.r,OR(_xlpm.r))),FALSE)</f>
        <v>0</v>
      </c>
      <c r="AG415" s="43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3130</v>
      </c>
      <c r="B416" s="45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43" t="b" cm="1">
        <f t="array" ref="AE416">IFERROR(_xlfn.BYROW(TRACK_TYPES[[#This Row],[TRACK_TYPE_STANDARD_GAUGE_RAILTYPE_OHLE]:[TRACK_TYPE_STANDARD_GAUGE_RAILTYPE_NONE]],_xlfn.LAMBDA(_xlpm.r,OR(_xlpm.r))),FALSE)</f>
        <v>1</v>
      </c>
      <c r="AF416" s="43" t="b" cm="1">
        <f t="array" ref="AF416">IFERROR(_xlfn.BYROW(TRACK_TYPES[[#This Row],[TRACK_TYPE_NARROW_GAUGE_RAILTYPE_OHLE]:[TRACK_TYPE_NARROW_GAUGE_RAILTYPE_NONE]],_xlfn.LAMBDA(_xlpm.r,OR(_xlpm.r))),FALSE)</f>
        <v>0</v>
      </c>
      <c r="AG416" s="43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3131</v>
      </c>
      <c r="B417" s="45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43" t="b" cm="1">
        <f t="array" ref="AE417">IFERROR(_xlfn.BYROW(TRACK_TYPES[[#This Row],[TRACK_TYPE_STANDARD_GAUGE_RAILTYPE_OHLE]:[TRACK_TYPE_STANDARD_GAUGE_RAILTYPE_NONE]],_xlfn.LAMBDA(_xlpm.r,OR(_xlpm.r))),FALSE)</f>
        <v>1</v>
      </c>
      <c r="AF417" s="43" t="b" cm="1">
        <f t="array" ref="AF417">IFERROR(_xlfn.BYROW(TRACK_TYPES[[#This Row],[TRACK_TYPE_NARROW_GAUGE_RAILTYPE_OHLE]:[TRACK_TYPE_NARROW_GAUGE_RAILTYPE_NONE]],_xlfn.LAMBDA(_xlpm.r,OR(_xlpm.r))),FALSE)</f>
        <v>0</v>
      </c>
      <c r="AG417" s="43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3132</v>
      </c>
      <c r="B418" s="45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43" t="b" cm="1">
        <f t="array" ref="AE418">IFERROR(_xlfn.BYROW(TRACK_TYPES[[#This Row],[TRACK_TYPE_STANDARD_GAUGE_RAILTYPE_OHLE]:[TRACK_TYPE_STANDARD_GAUGE_RAILTYPE_NONE]],_xlfn.LAMBDA(_xlpm.r,OR(_xlpm.r))),FALSE)</f>
        <v>1</v>
      </c>
      <c r="AF418" s="43" t="b" cm="1">
        <f t="array" ref="AF418">IFERROR(_xlfn.BYROW(TRACK_TYPES[[#This Row],[TRACK_TYPE_NARROW_GAUGE_RAILTYPE_OHLE]:[TRACK_TYPE_NARROW_GAUGE_RAILTYPE_NONE]],_xlfn.LAMBDA(_xlpm.r,OR(_xlpm.r))),FALSE)</f>
        <v>0</v>
      </c>
      <c r="AG418" s="43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3133</v>
      </c>
      <c r="B419" s="45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43" t="b" cm="1">
        <f t="array" ref="AE419">IFERROR(_xlfn.BYROW(TRACK_TYPES[[#This Row],[TRACK_TYPE_STANDARD_GAUGE_RAILTYPE_OHLE]:[TRACK_TYPE_STANDARD_GAUGE_RAILTYPE_NONE]],_xlfn.LAMBDA(_xlpm.r,OR(_xlpm.r))),FALSE)</f>
        <v>1</v>
      </c>
      <c r="AF419" s="43" t="b" cm="1">
        <f t="array" ref="AF419">IFERROR(_xlfn.BYROW(TRACK_TYPES[[#This Row],[TRACK_TYPE_NARROW_GAUGE_RAILTYPE_OHLE]:[TRACK_TYPE_NARROW_GAUGE_RAILTYPE_NONE]],_xlfn.LAMBDA(_xlpm.r,OR(_xlpm.r))),FALSE)</f>
        <v>0</v>
      </c>
      <c r="AG419" s="43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3134</v>
      </c>
      <c r="B420" s="45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43" t="b" cm="1">
        <f t="array" ref="AE420">IFERROR(_xlfn.BYROW(TRACK_TYPES[[#This Row],[TRACK_TYPE_STANDARD_GAUGE_RAILTYPE_OHLE]:[TRACK_TYPE_STANDARD_GAUGE_RAILTYPE_NONE]],_xlfn.LAMBDA(_xlpm.r,OR(_xlpm.r))),FALSE)</f>
        <v>1</v>
      </c>
      <c r="AF420" s="43" t="b" cm="1">
        <f t="array" ref="AF420">IFERROR(_xlfn.BYROW(TRACK_TYPES[[#This Row],[TRACK_TYPE_NARROW_GAUGE_RAILTYPE_OHLE]:[TRACK_TYPE_NARROW_GAUGE_RAILTYPE_NONE]],_xlfn.LAMBDA(_xlpm.r,OR(_xlpm.r))),FALSE)</f>
        <v>0</v>
      </c>
      <c r="AG420" s="43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3135</v>
      </c>
      <c r="B421" s="45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43" t="b" cm="1">
        <f t="array" ref="AE421">IFERROR(_xlfn.BYROW(TRACK_TYPES[[#This Row],[TRACK_TYPE_STANDARD_GAUGE_RAILTYPE_OHLE]:[TRACK_TYPE_STANDARD_GAUGE_RAILTYPE_NONE]],_xlfn.LAMBDA(_xlpm.r,OR(_xlpm.r))),FALSE)</f>
        <v>1</v>
      </c>
      <c r="AF421" s="43" t="b" cm="1">
        <f t="array" ref="AF421">IFERROR(_xlfn.BYROW(TRACK_TYPES[[#This Row],[TRACK_TYPE_NARROW_GAUGE_RAILTYPE_OHLE]:[TRACK_TYPE_NARROW_GAUGE_RAILTYPE_NONE]],_xlfn.LAMBDA(_xlpm.r,OR(_xlpm.r))),FALSE)</f>
        <v>0</v>
      </c>
      <c r="AG421" s="43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3136</v>
      </c>
      <c r="B422" s="45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43" t="b" cm="1">
        <f t="array" ref="AE422">IFERROR(_xlfn.BYROW(TRACK_TYPES[[#This Row],[TRACK_TYPE_STANDARD_GAUGE_RAILTYPE_OHLE]:[TRACK_TYPE_STANDARD_GAUGE_RAILTYPE_NONE]],_xlfn.LAMBDA(_xlpm.r,OR(_xlpm.r))),FALSE)</f>
        <v>1</v>
      </c>
      <c r="AF422" s="43" t="b" cm="1">
        <f t="array" ref="AF422">IFERROR(_xlfn.BYROW(TRACK_TYPES[[#This Row],[TRACK_TYPE_NARROW_GAUGE_RAILTYPE_OHLE]:[TRACK_TYPE_NARROW_GAUGE_RAILTYPE_NONE]],_xlfn.LAMBDA(_xlpm.r,OR(_xlpm.r))),FALSE)</f>
        <v>0</v>
      </c>
      <c r="AG422" s="43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3137</v>
      </c>
      <c r="B423" s="45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43" t="b" cm="1">
        <f t="array" ref="AE423">IFERROR(_xlfn.BYROW(TRACK_TYPES[[#This Row],[TRACK_TYPE_STANDARD_GAUGE_RAILTYPE_OHLE]:[TRACK_TYPE_STANDARD_GAUGE_RAILTYPE_NONE]],_xlfn.LAMBDA(_xlpm.r,OR(_xlpm.r))),FALSE)</f>
        <v>0</v>
      </c>
      <c r="AF423" s="43" t="b" cm="1">
        <f t="array" ref="AF423">IFERROR(_xlfn.BYROW(TRACK_TYPES[[#This Row],[TRACK_TYPE_NARROW_GAUGE_RAILTYPE_OHLE]:[TRACK_TYPE_NARROW_GAUGE_RAILTYPE_NONE]],_xlfn.LAMBDA(_xlpm.r,OR(_xlpm.r))),FALSE)</f>
        <v>0</v>
      </c>
      <c r="AG423" s="43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3138</v>
      </c>
      <c r="B424" s="45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43" t="b" cm="1">
        <f t="array" ref="AE424">IFERROR(_xlfn.BYROW(TRACK_TYPES[[#This Row],[TRACK_TYPE_STANDARD_GAUGE_RAILTYPE_OHLE]:[TRACK_TYPE_STANDARD_GAUGE_RAILTYPE_NONE]],_xlfn.LAMBDA(_xlpm.r,OR(_xlpm.r))),FALSE)</f>
        <v>0</v>
      </c>
      <c r="AF424" s="43" t="b" cm="1">
        <f t="array" ref="AF424">IFERROR(_xlfn.BYROW(TRACK_TYPES[[#This Row],[TRACK_TYPE_NARROW_GAUGE_RAILTYPE_OHLE]:[TRACK_TYPE_NARROW_GAUGE_RAILTYPE_NONE]],_xlfn.LAMBDA(_xlpm.r,OR(_xlpm.r))),FALSE)</f>
        <v>0</v>
      </c>
      <c r="AG424" s="43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3139</v>
      </c>
      <c r="B425" s="45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43" t="b" cm="1">
        <f t="array" ref="AE425">IFERROR(_xlfn.BYROW(TRACK_TYPES[[#This Row],[TRACK_TYPE_STANDARD_GAUGE_RAILTYPE_OHLE]:[TRACK_TYPE_STANDARD_GAUGE_RAILTYPE_NONE]],_xlfn.LAMBDA(_xlpm.r,OR(_xlpm.r))),FALSE)</f>
        <v>0</v>
      </c>
      <c r="AF425" s="43" t="b" cm="1">
        <f t="array" ref="AF425">IFERROR(_xlfn.BYROW(TRACK_TYPES[[#This Row],[TRACK_TYPE_NARROW_GAUGE_RAILTYPE_OHLE]:[TRACK_TYPE_NARROW_GAUGE_RAILTYPE_NONE]],_xlfn.LAMBDA(_xlpm.r,OR(_xlpm.r))),FALSE)</f>
        <v>1</v>
      </c>
      <c r="AG425" s="43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3538</v>
      </c>
      <c r="B426" s="45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43" t="b" cm="1">
        <f t="array" ref="AE426">IFERROR(_xlfn.BYROW(TRACK_TYPES[[#This Row],[TRACK_TYPE_STANDARD_GAUGE_RAILTYPE_OHLE]:[TRACK_TYPE_STANDARD_GAUGE_RAILTYPE_NONE]],_xlfn.LAMBDA(_xlpm.r,OR(_xlpm.r))),FALSE)</f>
        <v>1</v>
      </c>
      <c r="AF426" s="43" t="b" cm="1">
        <f t="array" ref="AF426">IFERROR(_xlfn.BYROW(TRACK_TYPES[[#This Row],[TRACK_TYPE_NARROW_GAUGE_RAILTYPE_OHLE]:[TRACK_TYPE_NARROW_GAUGE_RAILTYPE_NONE]],_xlfn.LAMBDA(_xlpm.r,OR(_xlpm.r))),FALSE)</f>
        <v>0</v>
      </c>
      <c r="AG426" s="43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3140</v>
      </c>
      <c r="B427" s="45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43" t="b" cm="1">
        <f t="array" ref="AE427">IFERROR(_xlfn.BYROW(TRACK_TYPES[[#This Row],[TRACK_TYPE_STANDARD_GAUGE_RAILTYPE_OHLE]:[TRACK_TYPE_STANDARD_GAUGE_RAILTYPE_NONE]],_xlfn.LAMBDA(_xlpm.r,OR(_xlpm.r))),FALSE)</f>
        <v>0</v>
      </c>
      <c r="AF427" s="43" t="b" cm="1">
        <f t="array" ref="AF427">IFERROR(_xlfn.BYROW(TRACK_TYPES[[#This Row],[TRACK_TYPE_NARROW_GAUGE_RAILTYPE_OHLE]:[TRACK_TYPE_NARROW_GAUGE_RAILTYPE_NONE]],_xlfn.LAMBDA(_xlpm.r,OR(_xlpm.r))),FALSE)</f>
        <v>0</v>
      </c>
      <c r="AG427" s="43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3141</v>
      </c>
      <c r="B428" s="45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43" t="b" cm="1">
        <f t="array" ref="AE428">IFERROR(_xlfn.BYROW(TRACK_TYPES[[#This Row],[TRACK_TYPE_STANDARD_GAUGE_RAILTYPE_OHLE]:[TRACK_TYPE_STANDARD_GAUGE_RAILTYPE_NONE]],_xlfn.LAMBDA(_xlpm.r,OR(_xlpm.r))),FALSE)</f>
        <v>1</v>
      </c>
      <c r="AF428" s="43" t="b" cm="1">
        <f t="array" ref="AF428">IFERROR(_xlfn.BYROW(TRACK_TYPES[[#This Row],[TRACK_TYPE_NARROW_GAUGE_RAILTYPE_OHLE]:[TRACK_TYPE_NARROW_GAUGE_RAILTYPE_NONE]],_xlfn.LAMBDA(_xlpm.r,OR(_xlpm.r))),FALSE)</f>
        <v>0</v>
      </c>
      <c r="AG428" s="43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3142</v>
      </c>
      <c r="B429" s="45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43" t="b" cm="1">
        <f t="array" ref="AE429">IFERROR(_xlfn.BYROW(TRACK_TYPES[[#This Row],[TRACK_TYPE_STANDARD_GAUGE_RAILTYPE_OHLE]:[TRACK_TYPE_STANDARD_GAUGE_RAILTYPE_NONE]],_xlfn.LAMBDA(_xlpm.r,OR(_xlpm.r))),FALSE)</f>
        <v>1</v>
      </c>
      <c r="AF429" s="43" t="b" cm="1">
        <f t="array" ref="AF429">IFERROR(_xlfn.BYROW(TRACK_TYPES[[#This Row],[TRACK_TYPE_NARROW_GAUGE_RAILTYPE_OHLE]:[TRACK_TYPE_NARROW_GAUGE_RAILTYPE_NONE]],_xlfn.LAMBDA(_xlpm.r,OR(_xlpm.r))),FALSE)</f>
        <v>0</v>
      </c>
      <c r="AG429" s="43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3143</v>
      </c>
      <c r="B430" s="45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43" t="b" cm="1">
        <f t="array" ref="AE430">IFERROR(_xlfn.BYROW(TRACK_TYPES[[#This Row],[TRACK_TYPE_STANDARD_GAUGE_RAILTYPE_OHLE]:[TRACK_TYPE_STANDARD_GAUGE_RAILTYPE_NONE]],_xlfn.LAMBDA(_xlpm.r,OR(_xlpm.r))),FALSE)</f>
        <v>1</v>
      </c>
      <c r="AF430" s="43" t="b" cm="1">
        <f t="array" ref="AF430">IFERROR(_xlfn.BYROW(TRACK_TYPES[[#This Row],[TRACK_TYPE_NARROW_GAUGE_RAILTYPE_OHLE]:[TRACK_TYPE_NARROW_GAUGE_RAILTYPE_NONE]],_xlfn.LAMBDA(_xlpm.r,OR(_xlpm.r))),FALSE)</f>
        <v>0</v>
      </c>
      <c r="AG430" s="43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3144</v>
      </c>
      <c r="B431" s="45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43" t="b" cm="1">
        <f t="array" ref="AE431">IFERROR(_xlfn.BYROW(TRACK_TYPES[[#This Row],[TRACK_TYPE_STANDARD_GAUGE_RAILTYPE_OHLE]:[TRACK_TYPE_STANDARD_GAUGE_RAILTYPE_NONE]],_xlfn.LAMBDA(_xlpm.r,OR(_xlpm.r))),FALSE)</f>
        <v>1</v>
      </c>
      <c r="AF431" s="43" t="b" cm="1">
        <f t="array" ref="AF431">IFERROR(_xlfn.BYROW(TRACK_TYPES[[#This Row],[TRACK_TYPE_NARROW_GAUGE_RAILTYPE_OHLE]:[TRACK_TYPE_NARROW_GAUGE_RAILTYPE_NONE]],_xlfn.LAMBDA(_xlpm.r,OR(_xlpm.r))),FALSE)</f>
        <v>0</v>
      </c>
      <c r="AG431" s="43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3145</v>
      </c>
      <c r="B432" s="45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43" t="b" cm="1">
        <f t="array" ref="AE432">IFERROR(_xlfn.BYROW(TRACK_TYPES[[#This Row],[TRACK_TYPE_STANDARD_GAUGE_RAILTYPE_OHLE]:[TRACK_TYPE_STANDARD_GAUGE_RAILTYPE_NONE]],_xlfn.LAMBDA(_xlpm.r,OR(_xlpm.r))),FALSE)</f>
        <v>1</v>
      </c>
      <c r="AF432" s="43" t="b" cm="1">
        <f t="array" ref="AF432">IFERROR(_xlfn.BYROW(TRACK_TYPES[[#This Row],[TRACK_TYPE_NARROW_GAUGE_RAILTYPE_OHLE]:[TRACK_TYPE_NARROW_GAUGE_RAILTYPE_NONE]],_xlfn.LAMBDA(_xlpm.r,OR(_xlpm.r))),FALSE)</f>
        <v>0</v>
      </c>
      <c r="AG432" s="43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3146</v>
      </c>
      <c r="B433" s="45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43" t="b" cm="1">
        <f t="array" ref="AE433">IFERROR(_xlfn.BYROW(TRACK_TYPES[[#This Row],[TRACK_TYPE_STANDARD_GAUGE_RAILTYPE_OHLE]:[TRACK_TYPE_STANDARD_GAUGE_RAILTYPE_NONE]],_xlfn.LAMBDA(_xlpm.r,OR(_xlpm.r))),FALSE)</f>
        <v>1</v>
      </c>
      <c r="AF433" s="43" t="b" cm="1">
        <f t="array" ref="AF433">IFERROR(_xlfn.BYROW(TRACK_TYPES[[#This Row],[TRACK_TYPE_NARROW_GAUGE_RAILTYPE_OHLE]:[TRACK_TYPE_NARROW_GAUGE_RAILTYPE_NONE]],_xlfn.LAMBDA(_xlpm.r,OR(_xlpm.r))),FALSE)</f>
        <v>0</v>
      </c>
      <c r="AG433" s="43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3147</v>
      </c>
      <c r="B434" s="45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43" t="b" cm="1">
        <f t="array" ref="AE434">IFERROR(_xlfn.BYROW(TRACK_TYPES[[#This Row],[TRACK_TYPE_STANDARD_GAUGE_RAILTYPE_OHLE]:[TRACK_TYPE_STANDARD_GAUGE_RAILTYPE_NONE]],_xlfn.LAMBDA(_xlpm.r,OR(_xlpm.r))),FALSE)</f>
        <v>1</v>
      </c>
      <c r="AF434" s="43" t="b" cm="1">
        <f t="array" ref="AF434">IFERROR(_xlfn.BYROW(TRACK_TYPES[[#This Row],[TRACK_TYPE_NARROW_GAUGE_RAILTYPE_OHLE]:[TRACK_TYPE_NARROW_GAUGE_RAILTYPE_NONE]],_xlfn.LAMBDA(_xlpm.r,OR(_xlpm.r))),FALSE)</f>
        <v>0</v>
      </c>
      <c r="AG434" s="43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3148</v>
      </c>
      <c r="B435" s="45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43" t="b" cm="1">
        <f t="array" ref="AE435">IFERROR(_xlfn.BYROW(TRACK_TYPES[[#This Row],[TRACK_TYPE_STANDARD_GAUGE_RAILTYPE_OHLE]:[TRACK_TYPE_STANDARD_GAUGE_RAILTYPE_NONE]],_xlfn.LAMBDA(_xlpm.r,OR(_xlpm.r))),FALSE)</f>
        <v>0</v>
      </c>
      <c r="AF435" s="43" t="b" cm="1">
        <f t="array" ref="AF435">IFERROR(_xlfn.BYROW(TRACK_TYPES[[#This Row],[TRACK_TYPE_NARROW_GAUGE_RAILTYPE_OHLE]:[TRACK_TYPE_NARROW_GAUGE_RAILTYPE_NONE]],_xlfn.LAMBDA(_xlpm.r,OR(_xlpm.r))),FALSE)</f>
        <v>1</v>
      </c>
      <c r="AG435" s="43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3149</v>
      </c>
      <c r="B436" s="45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43" t="b" cm="1">
        <f t="array" ref="AE436">IFERROR(_xlfn.BYROW(TRACK_TYPES[[#This Row],[TRACK_TYPE_STANDARD_GAUGE_RAILTYPE_OHLE]:[TRACK_TYPE_STANDARD_GAUGE_RAILTYPE_NONE]],_xlfn.LAMBDA(_xlpm.r,OR(_xlpm.r))),FALSE)</f>
        <v>1</v>
      </c>
      <c r="AF436" s="43" t="b" cm="1">
        <f t="array" ref="AF436">IFERROR(_xlfn.BYROW(TRACK_TYPES[[#This Row],[TRACK_TYPE_NARROW_GAUGE_RAILTYPE_OHLE]:[TRACK_TYPE_NARROW_GAUGE_RAILTYPE_NONE]],_xlfn.LAMBDA(_xlpm.r,OR(_xlpm.r))),FALSE)</f>
        <v>0</v>
      </c>
      <c r="AG436" s="43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3150</v>
      </c>
      <c r="B437" s="45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43" t="b" cm="1">
        <f t="array" ref="AE437">IFERROR(_xlfn.BYROW(TRACK_TYPES[[#This Row],[TRACK_TYPE_STANDARD_GAUGE_RAILTYPE_OHLE]:[TRACK_TYPE_STANDARD_GAUGE_RAILTYPE_NONE]],_xlfn.LAMBDA(_xlpm.r,OR(_xlpm.r))),FALSE)</f>
        <v>1</v>
      </c>
      <c r="AF437" s="43" t="b" cm="1">
        <f t="array" ref="AF437">IFERROR(_xlfn.BYROW(TRACK_TYPES[[#This Row],[TRACK_TYPE_NARROW_GAUGE_RAILTYPE_OHLE]:[TRACK_TYPE_NARROW_GAUGE_RAILTYPE_NONE]],_xlfn.LAMBDA(_xlpm.r,OR(_xlpm.r))),FALSE)</f>
        <v>0</v>
      </c>
      <c r="AG437" s="43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3151</v>
      </c>
      <c r="B438" s="45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43" t="b" cm="1">
        <f t="array" ref="AE438">IFERROR(_xlfn.BYROW(TRACK_TYPES[[#This Row],[TRACK_TYPE_STANDARD_GAUGE_RAILTYPE_OHLE]:[TRACK_TYPE_STANDARD_GAUGE_RAILTYPE_NONE]],_xlfn.LAMBDA(_xlpm.r,OR(_xlpm.r))),FALSE)</f>
        <v>1</v>
      </c>
      <c r="AF438" s="43" t="b" cm="1">
        <f t="array" ref="AF438">IFERROR(_xlfn.BYROW(TRACK_TYPES[[#This Row],[TRACK_TYPE_NARROW_GAUGE_RAILTYPE_OHLE]:[TRACK_TYPE_NARROW_GAUGE_RAILTYPE_NONE]],_xlfn.LAMBDA(_xlpm.r,OR(_xlpm.r))),FALSE)</f>
        <v>0</v>
      </c>
      <c r="AG438" s="43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3152</v>
      </c>
      <c r="B439" s="45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43" t="b" cm="1">
        <f t="array" ref="AE439">IFERROR(_xlfn.BYROW(TRACK_TYPES[[#This Row],[TRACK_TYPE_STANDARD_GAUGE_RAILTYPE_OHLE]:[TRACK_TYPE_STANDARD_GAUGE_RAILTYPE_NONE]],_xlfn.LAMBDA(_xlpm.r,OR(_xlpm.r))),FALSE)</f>
        <v>1</v>
      </c>
      <c r="AF439" s="43" t="b" cm="1">
        <f t="array" ref="AF439">IFERROR(_xlfn.BYROW(TRACK_TYPES[[#This Row],[TRACK_TYPE_NARROW_GAUGE_RAILTYPE_OHLE]:[TRACK_TYPE_NARROW_GAUGE_RAILTYPE_NONE]],_xlfn.LAMBDA(_xlpm.r,OR(_xlpm.r))),FALSE)</f>
        <v>0</v>
      </c>
      <c r="AG439" s="43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3153</v>
      </c>
      <c r="B440" s="45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43" t="b" cm="1">
        <f t="array" ref="AE440">IFERROR(_xlfn.BYROW(TRACK_TYPES[[#This Row],[TRACK_TYPE_STANDARD_GAUGE_RAILTYPE_OHLE]:[TRACK_TYPE_STANDARD_GAUGE_RAILTYPE_NONE]],_xlfn.LAMBDA(_xlpm.r,OR(_xlpm.r))),FALSE)</f>
        <v>1</v>
      </c>
      <c r="AF440" s="43" t="b" cm="1">
        <f t="array" ref="AF440">IFERROR(_xlfn.BYROW(TRACK_TYPES[[#This Row],[TRACK_TYPE_NARROW_GAUGE_RAILTYPE_OHLE]:[TRACK_TYPE_NARROW_GAUGE_RAILTYPE_NONE]],_xlfn.LAMBDA(_xlpm.r,OR(_xlpm.r))),FALSE)</f>
        <v>0</v>
      </c>
      <c r="AG440" s="43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3154</v>
      </c>
      <c r="B441" s="45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43" t="b" cm="1">
        <f t="array" ref="AE441">IFERROR(_xlfn.BYROW(TRACK_TYPES[[#This Row],[TRACK_TYPE_STANDARD_GAUGE_RAILTYPE_OHLE]:[TRACK_TYPE_STANDARD_GAUGE_RAILTYPE_NONE]],_xlfn.LAMBDA(_xlpm.r,OR(_xlpm.r))),FALSE)</f>
        <v>0</v>
      </c>
      <c r="AF441" s="43" t="b" cm="1">
        <f t="array" ref="AF441">IFERROR(_xlfn.BYROW(TRACK_TYPES[[#This Row],[TRACK_TYPE_NARROW_GAUGE_RAILTYPE_OHLE]:[TRACK_TYPE_NARROW_GAUGE_RAILTYPE_NONE]],_xlfn.LAMBDA(_xlpm.r,OR(_xlpm.r))),FALSE)</f>
        <v>1</v>
      </c>
      <c r="AG441" s="43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3155</v>
      </c>
      <c r="B442" s="45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43" t="b" cm="1">
        <f t="array" ref="AE442">IFERROR(_xlfn.BYROW(TRACK_TYPES[[#This Row],[TRACK_TYPE_STANDARD_GAUGE_RAILTYPE_OHLE]:[TRACK_TYPE_STANDARD_GAUGE_RAILTYPE_NONE]],_xlfn.LAMBDA(_xlpm.r,OR(_xlpm.r))),FALSE)</f>
        <v>1</v>
      </c>
      <c r="AF442" s="43" t="b" cm="1">
        <f t="array" ref="AF442">IFERROR(_xlfn.BYROW(TRACK_TYPES[[#This Row],[TRACK_TYPE_NARROW_GAUGE_RAILTYPE_OHLE]:[TRACK_TYPE_NARROW_GAUGE_RAILTYPE_NONE]],_xlfn.LAMBDA(_xlpm.r,OR(_xlpm.r))),FALSE)</f>
        <v>0</v>
      </c>
      <c r="AG442" s="43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3156</v>
      </c>
      <c r="B443" s="45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43" t="b" cm="1">
        <f t="array" ref="AE443">IFERROR(_xlfn.BYROW(TRACK_TYPES[[#This Row],[TRACK_TYPE_STANDARD_GAUGE_RAILTYPE_OHLE]:[TRACK_TYPE_STANDARD_GAUGE_RAILTYPE_NONE]],_xlfn.LAMBDA(_xlpm.r,OR(_xlpm.r))),FALSE)</f>
        <v>1</v>
      </c>
      <c r="AF443" s="43" t="b" cm="1">
        <f t="array" ref="AF443">IFERROR(_xlfn.BYROW(TRACK_TYPES[[#This Row],[TRACK_TYPE_NARROW_GAUGE_RAILTYPE_OHLE]:[TRACK_TYPE_NARROW_GAUGE_RAILTYPE_NONE]],_xlfn.LAMBDA(_xlpm.r,OR(_xlpm.r))),FALSE)</f>
        <v>0</v>
      </c>
      <c r="AG443" s="43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3157</v>
      </c>
      <c r="B444" s="45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43" t="b" cm="1">
        <f t="array" ref="AE444">IFERROR(_xlfn.BYROW(TRACK_TYPES[[#This Row],[TRACK_TYPE_STANDARD_GAUGE_RAILTYPE_OHLE]:[TRACK_TYPE_STANDARD_GAUGE_RAILTYPE_NONE]],_xlfn.LAMBDA(_xlpm.r,OR(_xlpm.r))),FALSE)</f>
        <v>1</v>
      </c>
      <c r="AF444" s="43" t="b" cm="1">
        <f t="array" ref="AF444">IFERROR(_xlfn.BYROW(TRACK_TYPES[[#This Row],[TRACK_TYPE_NARROW_GAUGE_RAILTYPE_OHLE]:[TRACK_TYPE_NARROW_GAUGE_RAILTYPE_NONE]],_xlfn.LAMBDA(_xlpm.r,OR(_xlpm.r))),FALSE)</f>
        <v>0</v>
      </c>
      <c r="AG444" s="43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3158</v>
      </c>
      <c r="B445" s="45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43" t="b" cm="1">
        <f t="array" ref="AE445">IFERROR(_xlfn.BYROW(TRACK_TYPES[[#This Row],[TRACK_TYPE_STANDARD_GAUGE_RAILTYPE_OHLE]:[TRACK_TYPE_STANDARD_GAUGE_RAILTYPE_NONE]],_xlfn.LAMBDA(_xlpm.r,OR(_xlpm.r))),FALSE)</f>
        <v>1</v>
      </c>
      <c r="AF445" s="43" t="b" cm="1">
        <f t="array" ref="AF445">IFERROR(_xlfn.BYROW(TRACK_TYPES[[#This Row],[TRACK_TYPE_NARROW_GAUGE_RAILTYPE_OHLE]:[TRACK_TYPE_NARROW_GAUGE_RAILTYPE_NONE]],_xlfn.LAMBDA(_xlpm.r,OR(_xlpm.r))),FALSE)</f>
        <v>0</v>
      </c>
      <c r="AG445" s="43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3159</v>
      </c>
      <c r="B446" s="45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43" t="b" cm="1">
        <f t="array" ref="AE446">IFERROR(_xlfn.BYROW(TRACK_TYPES[[#This Row],[TRACK_TYPE_STANDARD_GAUGE_RAILTYPE_OHLE]:[TRACK_TYPE_STANDARD_GAUGE_RAILTYPE_NONE]],_xlfn.LAMBDA(_xlpm.r,OR(_xlpm.r))),FALSE)</f>
        <v>1</v>
      </c>
      <c r="AF446" s="43" t="b" cm="1">
        <f t="array" ref="AF446">IFERROR(_xlfn.BYROW(TRACK_TYPES[[#This Row],[TRACK_TYPE_NARROW_GAUGE_RAILTYPE_OHLE]:[TRACK_TYPE_NARROW_GAUGE_RAILTYPE_NONE]],_xlfn.LAMBDA(_xlpm.r,OR(_xlpm.r))),FALSE)</f>
        <v>0</v>
      </c>
      <c r="AG446" s="43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3160</v>
      </c>
      <c r="B447" s="45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43" t="b" cm="1">
        <f t="array" ref="AE447">IFERROR(_xlfn.BYROW(TRACK_TYPES[[#This Row],[TRACK_TYPE_STANDARD_GAUGE_RAILTYPE_OHLE]:[TRACK_TYPE_STANDARD_GAUGE_RAILTYPE_NONE]],_xlfn.LAMBDA(_xlpm.r,OR(_xlpm.r))),FALSE)</f>
        <v>1</v>
      </c>
      <c r="AF447" s="43" t="b" cm="1">
        <f t="array" ref="AF447">IFERROR(_xlfn.BYROW(TRACK_TYPES[[#This Row],[TRACK_TYPE_NARROW_GAUGE_RAILTYPE_OHLE]:[TRACK_TYPE_NARROW_GAUGE_RAILTYPE_NONE]],_xlfn.LAMBDA(_xlpm.r,OR(_xlpm.r))),FALSE)</f>
        <v>0</v>
      </c>
      <c r="AG447" s="43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3161</v>
      </c>
      <c r="B448" s="45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43" t="b" cm="1">
        <f t="array" ref="AE448">IFERROR(_xlfn.BYROW(TRACK_TYPES[[#This Row],[TRACK_TYPE_STANDARD_GAUGE_RAILTYPE_OHLE]:[TRACK_TYPE_STANDARD_GAUGE_RAILTYPE_NONE]],_xlfn.LAMBDA(_xlpm.r,OR(_xlpm.r))),FALSE)</f>
        <v>0</v>
      </c>
      <c r="AF448" s="43" t="b" cm="1">
        <f t="array" ref="AF448">IFERROR(_xlfn.BYROW(TRACK_TYPES[[#This Row],[TRACK_TYPE_NARROW_GAUGE_RAILTYPE_OHLE]:[TRACK_TYPE_NARROW_GAUGE_RAILTYPE_NONE]],_xlfn.LAMBDA(_xlpm.r,OR(_xlpm.r))),FALSE)</f>
        <v>1</v>
      </c>
      <c r="AG448" s="43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3162</v>
      </c>
      <c r="B449" s="45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43" t="b" cm="1">
        <f t="array" ref="AE449">IFERROR(_xlfn.BYROW(TRACK_TYPES[[#This Row],[TRACK_TYPE_STANDARD_GAUGE_RAILTYPE_OHLE]:[TRACK_TYPE_STANDARD_GAUGE_RAILTYPE_NONE]],_xlfn.LAMBDA(_xlpm.r,OR(_xlpm.r))),FALSE)</f>
        <v>1</v>
      </c>
      <c r="AF449" s="43" t="b" cm="1">
        <f t="array" ref="AF449">IFERROR(_xlfn.BYROW(TRACK_TYPES[[#This Row],[TRACK_TYPE_NARROW_GAUGE_RAILTYPE_OHLE]:[TRACK_TYPE_NARROW_GAUGE_RAILTYPE_NONE]],_xlfn.LAMBDA(_xlpm.r,OR(_xlpm.r))),FALSE)</f>
        <v>0</v>
      </c>
      <c r="AG449" s="43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3163</v>
      </c>
      <c r="B450" s="45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43" t="b" cm="1">
        <f t="array" ref="AE450">IFERROR(_xlfn.BYROW(TRACK_TYPES[[#This Row],[TRACK_TYPE_STANDARD_GAUGE_RAILTYPE_OHLE]:[TRACK_TYPE_STANDARD_GAUGE_RAILTYPE_NONE]],_xlfn.LAMBDA(_xlpm.r,OR(_xlpm.r))),FALSE)</f>
        <v>1</v>
      </c>
      <c r="AF450" s="43" t="b" cm="1">
        <f t="array" ref="AF450">IFERROR(_xlfn.BYROW(TRACK_TYPES[[#This Row],[TRACK_TYPE_NARROW_GAUGE_RAILTYPE_OHLE]:[TRACK_TYPE_NARROW_GAUGE_RAILTYPE_NONE]],_xlfn.LAMBDA(_xlpm.r,OR(_xlpm.r))),FALSE)</f>
        <v>0</v>
      </c>
      <c r="AG450" s="43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3164</v>
      </c>
      <c r="B451" s="45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43" t="b" cm="1">
        <f t="array" ref="AE451">IFERROR(_xlfn.BYROW(TRACK_TYPES[[#This Row],[TRACK_TYPE_STANDARD_GAUGE_RAILTYPE_OHLE]:[TRACK_TYPE_STANDARD_GAUGE_RAILTYPE_NONE]],_xlfn.LAMBDA(_xlpm.r,OR(_xlpm.r))),FALSE)</f>
        <v>1</v>
      </c>
      <c r="AF451" s="43" t="b" cm="1">
        <f t="array" ref="AF451">IFERROR(_xlfn.BYROW(TRACK_TYPES[[#This Row],[TRACK_TYPE_NARROW_GAUGE_RAILTYPE_OHLE]:[TRACK_TYPE_NARROW_GAUGE_RAILTYPE_NONE]],_xlfn.LAMBDA(_xlpm.r,OR(_xlpm.r))),FALSE)</f>
        <v>0</v>
      </c>
      <c r="AG451" s="43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3165</v>
      </c>
      <c r="B452" s="45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43" t="b" cm="1">
        <f t="array" ref="AE452">IFERROR(_xlfn.BYROW(TRACK_TYPES[[#This Row],[TRACK_TYPE_STANDARD_GAUGE_RAILTYPE_OHLE]:[TRACK_TYPE_STANDARD_GAUGE_RAILTYPE_NONE]],_xlfn.LAMBDA(_xlpm.r,OR(_xlpm.r))),FALSE)</f>
        <v>1</v>
      </c>
      <c r="AF452" s="43" t="b" cm="1">
        <f t="array" ref="AF452">IFERROR(_xlfn.BYROW(TRACK_TYPES[[#This Row],[TRACK_TYPE_NARROW_GAUGE_RAILTYPE_OHLE]:[TRACK_TYPE_NARROW_GAUGE_RAILTYPE_NONE]],_xlfn.LAMBDA(_xlpm.r,OR(_xlpm.r))),FALSE)</f>
        <v>0</v>
      </c>
      <c r="AG452" s="43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3166</v>
      </c>
      <c r="B453" s="45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43" t="b" cm="1">
        <f t="array" ref="AE453">IFERROR(_xlfn.BYROW(TRACK_TYPES[[#This Row],[TRACK_TYPE_STANDARD_GAUGE_RAILTYPE_OHLE]:[TRACK_TYPE_STANDARD_GAUGE_RAILTYPE_NONE]],_xlfn.LAMBDA(_xlpm.r,OR(_xlpm.r))),FALSE)</f>
        <v>1</v>
      </c>
      <c r="AF453" s="43" t="b" cm="1">
        <f t="array" ref="AF453">IFERROR(_xlfn.BYROW(TRACK_TYPES[[#This Row],[TRACK_TYPE_NARROW_GAUGE_RAILTYPE_OHLE]:[TRACK_TYPE_NARROW_GAUGE_RAILTYPE_NONE]],_xlfn.LAMBDA(_xlpm.r,OR(_xlpm.r))),FALSE)</f>
        <v>0</v>
      </c>
      <c r="AG453" s="43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3167</v>
      </c>
      <c r="B454" s="45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43" t="b" cm="1">
        <f t="array" ref="AE454">IFERROR(_xlfn.BYROW(TRACK_TYPES[[#This Row],[TRACK_TYPE_STANDARD_GAUGE_RAILTYPE_OHLE]:[TRACK_TYPE_STANDARD_GAUGE_RAILTYPE_NONE]],_xlfn.LAMBDA(_xlpm.r,OR(_xlpm.r))),FALSE)</f>
        <v>1</v>
      </c>
      <c r="AF454" s="43" t="b" cm="1">
        <f t="array" ref="AF454">IFERROR(_xlfn.BYROW(TRACK_TYPES[[#This Row],[TRACK_TYPE_NARROW_GAUGE_RAILTYPE_OHLE]:[TRACK_TYPE_NARROW_GAUGE_RAILTYPE_NONE]],_xlfn.LAMBDA(_xlpm.r,OR(_xlpm.r))),FALSE)</f>
        <v>0</v>
      </c>
      <c r="AG454" s="43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3168</v>
      </c>
      <c r="B455" s="45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43" t="b" cm="1">
        <f t="array" ref="AE455">IFERROR(_xlfn.BYROW(TRACK_TYPES[[#This Row],[TRACK_TYPE_STANDARD_GAUGE_RAILTYPE_OHLE]:[TRACK_TYPE_STANDARD_GAUGE_RAILTYPE_NONE]],_xlfn.LAMBDA(_xlpm.r,OR(_xlpm.r))),FALSE)</f>
        <v>1</v>
      </c>
      <c r="AF455" s="43" t="b" cm="1">
        <f t="array" ref="AF455">IFERROR(_xlfn.BYROW(TRACK_TYPES[[#This Row],[TRACK_TYPE_NARROW_GAUGE_RAILTYPE_OHLE]:[TRACK_TYPE_NARROW_GAUGE_RAILTYPE_NONE]],_xlfn.LAMBDA(_xlpm.r,OR(_xlpm.r))),FALSE)</f>
        <v>0</v>
      </c>
      <c r="AG455" s="43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3169</v>
      </c>
      <c r="B456" s="45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43" t="b" cm="1">
        <f t="array" ref="AE456">IFERROR(_xlfn.BYROW(TRACK_TYPES[[#This Row],[TRACK_TYPE_STANDARD_GAUGE_RAILTYPE_OHLE]:[TRACK_TYPE_STANDARD_GAUGE_RAILTYPE_NONE]],_xlfn.LAMBDA(_xlpm.r,OR(_xlpm.r))),FALSE)</f>
        <v>1</v>
      </c>
      <c r="AF456" s="43" t="b" cm="1">
        <f t="array" ref="AF456">IFERROR(_xlfn.BYROW(TRACK_TYPES[[#This Row],[TRACK_TYPE_NARROW_GAUGE_RAILTYPE_OHLE]:[TRACK_TYPE_NARROW_GAUGE_RAILTYPE_NONE]],_xlfn.LAMBDA(_xlpm.r,OR(_xlpm.r))),FALSE)</f>
        <v>0</v>
      </c>
      <c r="AG456" s="43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3170</v>
      </c>
      <c r="B457" s="45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43" t="b" cm="1">
        <f t="array" ref="AE457">IFERROR(_xlfn.BYROW(TRACK_TYPES[[#This Row],[TRACK_TYPE_STANDARD_GAUGE_RAILTYPE_OHLE]:[TRACK_TYPE_STANDARD_GAUGE_RAILTYPE_NONE]],_xlfn.LAMBDA(_xlpm.r,OR(_xlpm.r))),FALSE)</f>
        <v>0</v>
      </c>
      <c r="AF457" s="43" t="b" cm="1">
        <f t="array" ref="AF457">IFERROR(_xlfn.BYROW(TRACK_TYPES[[#This Row],[TRACK_TYPE_NARROW_GAUGE_RAILTYPE_OHLE]:[TRACK_TYPE_NARROW_GAUGE_RAILTYPE_NONE]],_xlfn.LAMBDA(_xlpm.r,OR(_xlpm.r))),FALSE)</f>
        <v>0</v>
      </c>
      <c r="AG457" s="43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3171</v>
      </c>
      <c r="B458" s="45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43" t="b" cm="1">
        <f t="array" ref="AE458">IFERROR(_xlfn.BYROW(TRACK_TYPES[[#This Row],[TRACK_TYPE_STANDARD_GAUGE_RAILTYPE_OHLE]:[TRACK_TYPE_STANDARD_GAUGE_RAILTYPE_NONE]],_xlfn.LAMBDA(_xlpm.r,OR(_xlpm.r))),FALSE)</f>
        <v>1</v>
      </c>
      <c r="AF458" s="43" t="b" cm="1">
        <f t="array" ref="AF458">IFERROR(_xlfn.BYROW(TRACK_TYPES[[#This Row],[TRACK_TYPE_NARROW_GAUGE_RAILTYPE_OHLE]:[TRACK_TYPE_NARROW_GAUGE_RAILTYPE_NONE]],_xlfn.LAMBDA(_xlpm.r,OR(_xlpm.r))),FALSE)</f>
        <v>0</v>
      </c>
      <c r="AG458" s="43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3172</v>
      </c>
      <c r="B459" s="45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43" t="b" cm="1">
        <f t="array" ref="AE459">IFERROR(_xlfn.BYROW(TRACK_TYPES[[#This Row],[TRACK_TYPE_STANDARD_GAUGE_RAILTYPE_OHLE]:[TRACK_TYPE_STANDARD_GAUGE_RAILTYPE_NONE]],_xlfn.LAMBDA(_xlpm.r,OR(_xlpm.r))),FALSE)</f>
        <v>1</v>
      </c>
      <c r="AF459" s="43" t="b" cm="1">
        <f t="array" ref="AF459">IFERROR(_xlfn.BYROW(TRACK_TYPES[[#This Row],[TRACK_TYPE_NARROW_GAUGE_RAILTYPE_OHLE]:[TRACK_TYPE_NARROW_GAUGE_RAILTYPE_NONE]],_xlfn.LAMBDA(_xlpm.r,OR(_xlpm.r))),FALSE)</f>
        <v>0</v>
      </c>
      <c r="AG459" s="43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3173</v>
      </c>
      <c r="B460" s="45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43" t="b" cm="1">
        <f t="array" ref="AE460">IFERROR(_xlfn.BYROW(TRACK_TYPES[[#This Row],[TRACK_TYPE_STANDARD_GAUGE_RAILTYPE_OHLE]:[TRACK_TYPE_STANDARD_GAUGE_RAILTYPE_NONE]],_xlfn.LAMBDA(_xlpm.r,OR(_xlpm.r))),FALSE)</f>
        <v>1</v>
      </c>
      <c r="AF460" s="43" t="b" cm="1">
        <f t="array" ref="AF460">IFERROR(_xlfn.BYROW(TRACK_TYPES[[#This Row],[TRACK_TYPE_NARROW_GAUGE_RAILTYPE_OHLE]:[TRACK_TYPE_NARROW_GAUGE_RAILTYPE_NONE]],_xlfn.LAMBDA(_xlpm.r,OR(_xlpm.r))),FALSE)</f>
        <v>0</v>
      </c>
      <c r="AG460" s="43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3174</v>
      </c>
      <c r="B461" s="45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43" t="b" cm="1">
        <f t="array" ref="AE461">IFERROR(_xlfn.BYROW(TRACK_TYPES[[#This Row],[TRACK_TYPE_STANDARD_GAUGE_RAILTYPE_OHLE]:[TRACK_TYPE_STANDARD_GAUGE_RAILTYPE_NONE]],_xlfn.LAMBDA(_xlpm.r,OR(_xlpm.r))),FALSE)</f>
        <v>1</v>
      </c>
      <c r="AF461" s="43" t="b" cm="1">
        <f t="array" ref="AF461">IFERROR(_xlfn.BYROW(TRACK_TYPES[[#This Row],[TRACK_TYPE_NARROW_GAUGE_RAILTYPE_OHLE]:[TRACK_TYPE_NARROW_GAUGE_RAILTYPE_NONE]],_xlfn.LAMBDA(_xlpm.r,OR(_xlpm.r))),FALSE)</f>
        <v>0</v>
      </c>
      <c r="AG461" s="43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3175</v>
      </c>
      <c r="B462" s="45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43" t="b" cm="1">
        <f t="array" ref="AE462">IFERROR(_xlfn.BYROW(TRACK_TYPES[[#This Row],[TRACK_TYPE_STANDARD_GAUGE_RAILTYPE_OHLE]:[TRACK_TYPE_STANDARD_GAUGE_RAILTYPE_NONE]],_xlfn.LAMBDA(_xlpm.r,OR(_xlpm.r))),FALSE)</f>
        <v>1</v>
      </c>
      <c r="AF462" s="43" t="b" cm="1">
        <f t="array" ref="AF462">IFERROR(_xlfn.BYROW(TRACK_TYPES[[#This Row],[TRACK_TYPE_NARROW_GAUGE_RAILTYPE_OHLE]:[TRACK_TYPE_NARROW_GAUGE_RAILTYPE_NONE]],_xlfn.LAMBDA(_xlpm.r,OR(_xlpm.r))),FALSE)</f>
        <v>0</v>
      </c>
      <c r="AG462" s="43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3176</v>
      </c>
      <c r="B463" s="45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43" t="b" cm="1">
        <f t="array" ref="AE463">IFERROR(_xlfn.BYROW(TRACK_TYPES[[#This Row],[TRACK_TYPE_STANDARD_GAUGE_RAILTYPE_OHLE]:[TRACK_TYPE_STANDARD_GAUGE_RAILTYPE_NONE]],_xlfn.LAMBDA(_xlpm.r,OR(_xlpm.r))),FALSE)</f>
        <v>1</v>
      </c>
      <c r="AF463" s="43" t="b" cm="1">
        <f t="array" ref="AF463">IFERROR(_xlfn.BYROW(TRACK_TYPES[[#This Row],[TRACK_TYPE_NARROW_GAUGE_RAILTYPE_OHLE]:[TRACK_TYPE_NARROW_GAUGE_RAILTYPE_NONE]],_xlfn.LAMBDA(_xlpm.r,OR(_xlpm.r))),FALSE)</f>
        <v>0</v>
      </c>
      <c r="AG463" s="43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3177</v>
      </c>
      <c r="B464" s="45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43" t="b" cm="1">
        <f t="array" ref="AE464">IFERROR(_xlfn.BYROW(TRACK_TYPES[[#This Row],[TRACK_TYPE_STANDARD_GAUGE_RAILTYPE_OHLE]:[TRACK_TYPE_STANDARD_GAUGE_RAILTYPE_NONE]],_xlfn.LAMBDA(_xlpm.r,OR(_xlpm.r))),FALSE)</f>
        <v>1</v>
      </c>
      <c r="AF464" s="43" t="b" cm="1">
        <f t="array" ref="AF464">IFERROR(_xlfn.BYROW(TRACK_TYPES[[#This Row],[TRACK_TYPE_NARROW_GAUGE_RAILTYPE_OHLE]:[TRACK_TYPE_NARROW_GAUGE_RAILTYPE_NONE]],_xlfn.LAMBDA(_xlpm.r,OR(_xlpm.r))),FALSE)</f>
        <v>0</v>
      </c>
      <c r="AG464" s="43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3178</v>
      </c>
      <c r="B465" s="45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43" t="b" cm="1">
        <f t="array" ref="AE465">IFERROR(_xlfn.BYROW(TRACK_TYPES[[#This Row],[TRACK_TYPE_STANDARD_GAUGE_RAILTYPE_OHLE]:[TRACK_TYPE_STANDARD_GAUGE_RAILTYPE_NONE]],_xlfn.LAMBDA(_xlpm.r,OR(_xlpm.r))),FALSE)</f>
        <v>1</v>
      </c>
      <c r="AF465" s="43" t="b" cm="1">
        <f t="array" ref="AF465">IFERROR(_xlfn.BYROW(TRACK_TYPES[[#This Row],[TRACK_TYPE_NARROW_GAUGE_RAILTYPE_OHLE]:[TRACK_TYPE_NARROW_GAUGE_RAILTYPE_NONE]],_xlfn.LAMBDA(_xlpm.r,OR(_xlpm.r))),FALSE)</f>
        <v>0</v>
      </c>
      <c r="AG465" s="43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3179</v>
      </c>
      <c r="B466" s="45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43" t="b" cm="1">
        <f t="array" ref="AE466">IFERROR(_xlfn.BYROW(TRACK_TYPES[[#This Row],[TRACK_TYPE_STANDARD_GAUGE_RAILTYPE_OHLE]:[TRACK_TYPE_STANDARD_GAUGE_RAILTYPE_NONE]],_xlfn.LAMBDA(_xlpm.r,OR(_xlpm.r))),FALSE)</f>
        <v>1</v>
      </c>
      <c r="AF466" s="43" t="b" cm="1">
        <f t="array" ref="AF466">IFERROR(_xlfn.BYROW(TRACK_TYPES[[#This Row],[TRACK_TYPE_NARROW_GAUGE_RAILTYPE_OHLE]:[TRACK_TYPE_NARROW_GAUGE_RAILTYPE_NONE]],_xlfn.LAMBDA(_xlpm.r,OR(_xlpm.r))),FALSE)</f>
        <v>0</v>
      </c>
      <c r="AG466" s="43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3180</v>
      </c>
      <c r="B467" s="45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43" t="b" cm="1">
        <f t="array" ref="AE467">IFERROR(_xlfn.BYROW(TRACK_TYPES[[#This Row],[TRACK_TYPE_STANDARD_GAUGE_RAILTYPE_OHLE]:[TRACK_TYPE_STANDARD_GAUGE_RAILTYPE_NONE]],_xlfn.LAMBDA(_xlpm.r,OR(_xlpm.r))),FALSE)</f>
        <v>1</v>
      </c>
      <c r="AF467" s="43" t="b" cm="1">
        <f t="array" ref="AF467">IFERROR(_xlfn.BYROW(TRACK_TYPES[[#This Row],[TRACK_TYPE_NARROW_GAUGE_RAILTYPE_OHLE]:[TRACK_TYPE_NARROW_GAUGE_RAILTYPE_NONE]],_xlfn.LAMBDA(_xlpm.r,OR(_xlpm.r))),FALSE)</f>
        <v>0</v>
      </c>
      <c r="AG467" s="43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3181</v>
      </c>
      <c r="B468" s="45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43" t="b" cm="1">
        <f t="array" ref="AE468">IFERROR(_xlfn.BYROW(TRACK_TYPES[[#This Row],[TRACK_TYPE_STANDARD_GAUGE_RAILTYPE_OHLE]:[TRACK_TYPE_STANDARD_GAUGE_RAILTYPE_NONE]],_xlfn.LAMBDA(_xlpm.r,OR(_xlpm.r))),FALSE)</f>
        <v>1</v>
      </c>
      <c r="AF468" s="43" t="b" cm="1">
        <f t="array" ref="AF468">IFERROR(_xlfn.BYROW(TRACK_TYPES[[#This Row],[TRACK_TYPE_NARROW_GAUGE_RAILTYPE_OHLE]:[TRACK_TYPE_NARROW_GAUGE_RAILTYPE_NONE]],_xlfn.LAMBDA(_xlpm.r,OR(_xlpm.r))),FALSE)</f>
        <v>0</v>
      </c>
      <c r="AG468" s="43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3182</v>
      </c>
      <c r="B469" s="45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43" t="b" cm="1">
        <f t="array" ref="AE469">IFERROR(_xlfn.BYROW(TRACK_TYPES[[#This Row],[TRACK_TYPE_STANDARD_GAUGE_RAILTYPE_OHLE]:[TRACK_TYPE_STANDARD_GAUGE_RAILTYPE_NONE]],_xlfn.LAMBDA(_xlpm.r,OR(_xlpm.r))),FALSE)</f>
        <v>1</v>
      </c>
      <c r="AF469" s="43" t="b" cm="1">
        <f t="array" ref="AF469">IFERROR(_xlfn.BYROW(TRACK_TYPES[[#This Row],[TRACK_TYPE_NARROW_GAUGE_RAILTYPE_OHLE]:[TRACK_TYPE_NARROW_GAUGE_RAILTYPE_NONE]],_xlfn.LAMBDA(_xlpm.r,OR(_xlpm.r))),FALSE)</f>
        <v>0</v>
      </c>
      <c r="AG469" s="43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3183</v>
      </c>
      <c r="B470" s="45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43" t="b" cm="1">
        <f t="array" ref="AE470">IFERROR(_xlfn.BYROW(TRACK_TYPES[[#This Row],[TRACK_TYPE_STANDARD_GAUGE_RAILTYPE_OHLE]:[TRACK_TYPE_STANDARD_GAUGE_RAILTYPE_NONE]],_xlfn.LAMBDA(_xlpm.r,OR(_xlpm.r))),FALSE)</f>
        <v>1</v>
      </c>
      <c r="AF470" s="43" t="b" cm="1">
        <f t="array" ref="AF470">IFERROR(_xlfn.BYROW(TRACK_TYPES[[#This Row],[TRACK_TYPE_NARROW_GAUGE_RAILTYPE_OHLE]:[TRACK_TYPE_NARROW_GAUGE_RAILTYPE_NONE]],_xlfn.LAMBDA(_xlpm.r,OR(_xlpm.r))),FALSE)</f>
        <v>0</v>
      </c>
      <c r="AG470" s="43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3184</v>
      </c>
      <c r="B471" s="45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43" t="b" cm="1">
        <f t="array" ref="AE471">IFERROR(_xlfn.BYROW(TRACK_TYPES[[#This Row],[TRACK_TYPE_STANDARD_GAUGE_RAILTYPE_OHLE]:[TRACK_TYPE_STANDARD_GAUGE_RAILTYPE_NONE]],_xlfn.LAMBDA(_xlpm.r,OR(_xlpm.r))),FALSE)</f>
        <v>1</v>
      </c>
      <c r="AF471" s="43" t="b" cm="1">
        <f t="array" ref="AF471">IFERROR(_xlfn.BYROW(TRACK_TYPES[[#This Row],[TRACK_TYPE_NARROW_GAUGE_RAILTYPE_OHLE]:[TRACK_TYPE_NARROW_GAUGE_RAILTYPE_NONE]],_xlfn.LAMBDA(_xlpm.r,OR(_xlpm.r))),FALSE)</f>
        <v>0</v>
      </c>
      <c r="AG471" s="43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3185</v>
      </c>
      <c r="B472" s="45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43" t="b" cm="1">
        <f t="array" ref="AE472">IFERROR(_xlfn.BYROW(TRACK_TYPES[[#This Row],[TRACK_TYPE_STANDARD_GAUGE_RAILTYPE_OHLE]:[TRACK_TYPE_STANDARD_GAUGE_RAILTYPE_NONE]],_xlfn.LAMBDA(_xlpm.r,OR(_xlpm.r))),FALSE)</f>
        <v>1</v>
      </c>
      <c r="AF472" s="43" t="b" cm="1">
        <f t="array" ref="AF472">IFERROR(_xlfn.BYROW(TRACK_TYPES[[#This Row],[TRACK_TYPE_NARROW_GAUGE_RAILTYPE_OHLE]:[TRACK_TYPE_NARROW_GAUGE_RAILTYPE_NONE]],_xlfn.LAMBDA(_xlpm.r,OR(_xlpm.r))),FALSE)</f>
        <v>0</v>
      </c>
      <c r="AG472" s="43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3186</v>
      </c>
      <c r="B473" s="45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43" t="b" cm="1">
        <f t="array" ref="AE473">IFERROR(_xlfn.BYROW(TRACK_TYPES[[#This Row],[TRACK_TYPE_STANDARD_GAUGE_RAILTYPE_OHLE]:[TRACK_TYPE_STANDARD_GAUGE_RAILTYPE_NONE]],_xlfn.LAMBDA(_xlpm.r,OR(_xlpm.r))),FALSE)</f>
        <v>0</v>
      </c>
      <c r="AF473" s="43" t="b" cm="1">
        <f t="array" ref="AF473">IFERROR(_xlfn.BYROW(TRACK_TYPES[[#This Row],[TRACK_TYPE_NARROW_GAUGE_RAILTYPE_OHLE]:[TRACK_TYPE_NARROW_GAUGE_RAILTYPE_NONE]],_xlfn.LAMBDA(_xlpm.r,OR(_xlpm.r))),FALSE)</f>
        <v>0</v>
      </c>
      <c r="AG473" s="43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3187</v>
      </c>
      <c r="B474" s="45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43" t="b" cm="1">
        <f t="array" ref="AE474">IFERROR(_xlfn.BYROW(TRACK_TYPES[[#This Row],[TRACK_TYPE_STANDARD_GAUGE_RAILTYPE_OHLE]:[TRACK_TYPE_STANDARD_GAUGE_RAILTYPE_NONE]],_xlfn.LAMBDA(_xlpm.r,OR(_xlpm.r))),FALSE)</f>
        <v>1</v>
      </c>
      <c r="AF474" s="43" t="b" cm="1">
        <f t="array" ref="AF474">IFERROR(_xlfn.BYROW(TRACK_TYPES[[#This Row],[TRACK_TYPE_NARROW_GAUGE_RAILTYPE_OHLE]:[TRACK_TYPE_NARROW_GAUGE_RAILTYPE_NONE]],_xlfn.LAMBDA(_xlpm.r,OR(_xlpm.r))),FALSE)</f>
        <v>0</v>
      </c>
      <c r="AG474" s="43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3188</v>
      </c>
      <c r="B475" s="45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43" t="b" cm="1">
        <f t="array" ref="AE475">IFERROR(_xlfn.BYROW(TRACK_TYPES[[#This Row],[TRACK_TYPE_STANDARD_GAUGE_RAILTYPE_OHLE]:[TRACK_TYPE_STANDARD_GAUGE_RAILTYPE_NONE]],_xlfn.LAMBDA(_xlpm.r,OR(_xlpm.r))),FALSE)</f>
        <v>1</v>
      </c>
      <c r="AF475" s="43" t="b" cm="1">
        <f t="array" ref="AF475">IFERROR(_xlfn.BYROW(TRACK_TYPES[[#This Row],[TRACK_TYPE_NARROW_GAUGE_RAILTYPE_OHLE]:[TRACK_TYPE_NARROW_GAUGE_RAILTYPE_NONE]],_xlfn.LAMBDA(_xlpm.r,OR(_xlpm.r))),FALSE)</f>
        <v>0</v>
      </c>
      <c r="AG475" s="43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3189</v>
      </c>
      <c r="B476" s="45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43" t="b" cm="1">
        <f t="array" ref="AE476">IFERROR(_xlfn.BYROW(TRACK_TYPES[[#This Row],[TRACK_TYPE_STANDARD_GAUGE_RAILTYPE_OHLE]:[TRACK_TYPE_STANDARD_GAUGE_RAILTYPE_NONE]],_xlfn.LAMBDA(_xlpm.r,OR(_xlpm.r))),FALSE)</f>
        <v>1</v>
      </c>
      <c r="AF476" s="43" t="b" cm="1">
        <f t="array" ref="AF476">IFERROR(_xlfn.BYROW(TRACK_TYPES[[#This Row],[TRACK_TYPE_NARROW_GAUGE_RAILTYPE_OHLE]:[TRACK_TYPE_NARROW_GAUGE_RAILTYPE_NONE]],_xlfn.LAMBDA(_xlpm.r,OR(_xlpm.r))),FALSE)</f>
        <v>0</v>
      </c>
      <c r="AG476" s="43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3190</v>
      </c>
      <c r="B477" s="45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43" t="b" cm="1">
        <f t="array" ref="AE477">IFERROR(_xlfn.BYROW(TRACK_TYPES[[#This Row],[TRACK_TYPE_STANDARD_GAUGE_RAILTYPE_OHLE]:[TRACK_TYPE_STANDARD_GAUGE_RAILTYPE_NONE]],_xlfn.LAMBDA(_xlpm.r,OR(_xlpm.r))),FALSE)</f>
        <v>0</v>
      </c>
      <c r="AF477" s="43" t="b" cm="1">
        <f t="array" ref="AF477">IFERROR(_xlfn.BYROW(TRACK_TYPES[[#This Row],[TRACK_TYPE_NARROW_GAUGE_RAILTYPE_OHLE]:[TRACK_TYPE_NARROW_GAUGE_RAILTYPE_NONE]],_xlfn.LAMBDA(_xlpm.r,OR(_xlpm.r))),FALSE)</f>
        <v>1</v>
      </c>
      <c r="AG477" s="43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3191</v>
      </c>
      <c r="B478" s="45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43" t="b" cm="1">
        <f t="array" ref="AE478">IFERROR(_xlfn.BYROW(TRACK_TYPES[[#This Row],[TRACK_TYPE_STANDARD_GAUGE_RAILTYPE_OHLE]:[TRACK_TYPE_STANDARD_GAUGE_RAILTYPE_NONE]],_xlfn.LAMBDA(_xlpm.r,OR(_xlpm.r))),FALSE)</f>
        <v>1</v>
      </c>
      <c r="AF478" s="43" t="b" cm="1">
        <f t="array" ref="AF478">IFERROR(_xlfn.BYROW(TRACK_TYPES[[#This Row],[TRACK_TYPE_NARROW_GAUGE_RAILTYPE_OHLE]:[TRACK_TYPE_NARROW_GAUGE_RAILTYPE_NONE]],_xlfn.LAMBDA(_xlpm.r,OR(_xlpm.r))),FALSE)</f>
        <v>0</v>
      </c>
      <c r="AG478" s="43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3192</v>
      </c>
      <c r="B479" s="45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43" t="b" cm="1">
        <f t="array" ref="AE479">IFERROR(_xlfn.BYROW(TRACK_TYPES[[#This Row],[TRACK_TYPE_STANDARD_GAUGE_RAILTYPE_OHLE]:[TRACK_TYPE_STANDARD_GAUGE_RAILTYPE_NONE]],_xlfn.LAMBDA(_xlpm.r,OR(_xlpm.r))),FALSE)</f>
        <v>1</v>
      </c>
      <c r="AF479" s="43" t="b" cm="1">
        <f t="array" ref="AF479">IFERROR(_xlfn.BYROW(TRACK_TYPES[[#This Row],[TRACK_TYPE_NARROW_GAUGE_RAILTYPE_OHLE]:[TRACK_TYPE_NARROW_GAUGE_RAILTYPE_NONE]],_xlfn.LAMBDA(_xlpm.r,OR(_xlpm.r))),FALSE)</f>
        <v>0</v>
      </c>
      <c r="AG479" s="43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3193</v>
      </c>
      <c r="B480" s="45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43" t="b" cm="1">
        <f t="array" ref="AE480">IFERROR(_xlfn.BYROW(TRACK_TYPES[[#This Row],[TRACK_TYPE_STANDARD_GAUGE_RAILTYPE_OHLE]:[TRACK_TYPE_STANDARD_GAUGE_RAILTYPE_NONE]],_xlfn.LAMBDA(_xlpm.r,OR(_xlpm.r))),FALSE)</f>
        <v>1</v>
      </c>
      <c r="AF480" s="43" t="b" cm="1">
        <f t="array" ref="AF480">IFERROR(_xlfn.BYROW(TRACK_TYPES[[#This Row],[TRACK_TYPE_NARROW_GAUGE_RAILTYPE_OHLE]:[TRACK_TYPE_NARROW_GAUGE_RAILTYPE_NONE]],_xlfn.LAMBDA(_xlpm.r,OR(_xlpm.r))),FALSE)</f>
        <v>0</v>
      </c>
      <c r="AG480" s="43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3194</v>
      </c>
      <c r="B481" s="45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43" t="b" cm="1">
        <f t="array" ref="AE481">IFERROR(_xlfn.BYROW(TRACK_TYPES[[#This Row],[TRACK_TYPE_STANDARD_GAUGE_RAILTYPE_OHLE]:[TRACK_TYPE_STANDARD_GAUGE_RAILTYPE_NONE]],_xlfn.LAMBDA(_xlpm.r,OR(_xlpm.r))),FALSE)</f>
        <v>1</v>
      </c>
      <c r="AF481" s="43" t="b" cm="1">
        <f t="array" ref="AF481">IFERROR(_xlfn.BYROW(TRACK_TYPES[[#This Row],[TRACK_TYPE_NARROW_GAUGE_RAILTYPE_OHLE]:[TRACK_TYPE_NARROW_GAUGE_RAILTYPE_NONE]],_xlfn.LAMBDA(_xlpm.r,OR(_xlpm.r))),FALSE)</f>
        <v>0</v>
      </c>
      <c r="AG481" s="43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3195</v>
      </c>
      <c r="B482" s="45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43" t="b" cm="1">
        <f t="array" ref="AE482">IFERROR(_xlfn.BYROW(TRACK_TYPES[[#This Row],[TRACK_TYPE_STANDARD_GAUGE_RAILTYPE_OHLE]:[TRACK_TYPE_STANDARD_GAUGE_RAILTYPE_NONE]],_xlfn.LAMBDA(_xlpm.r,OR(_xlpm.r))),FALSE)</f>
        <v>1</v>
      </c>
      <c r="AF482" s="43" t="b" cm="1">
        <f t="array" ref="AF482">IFERROR(_xlfn.BYROW(TRACK_TYPES[[#This Row],[TRACK_TYPE_NARROW_GAUGE_RAILTYPE_OHLE]:[TRACK_TYPE_NARROW_GAUGE_RAILTYPE_NONE]],_xlfn.LAMBDA(_xlpm.r,OR(_xlpm.r))),FALSE)</f>
        <v>0</v>
      </c>
      <c r="AG482" s="43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3196</v>
      </c>
      <c r="B483" s="45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43" t="b" cm="1">
        <f t="array" ref="AE483">IFERROR(_xlfn.BYROW(TRACK_TYPES[[#This Row],[TRACK_TYPE_STANDARD_GAUGE_RAILTYPE_OHLE]:[TRACK_TYPE_STANDARD_GAUGE_RAILTYPE_NONE]],_xlfn.LAMBDA(_xlpm.r,OR(_xlpm.r))),FALSE)</f>
        <v>1</v>
      </c>
      <c r="AF483" s="43" t="b" cm="1">
        <f t="array" ref="AF483">IFERROR(_xlfn.BYROW(TRACK_TYPES[[#This Row],[TRACK_TYPE_NARROW_GAUGE_RAILTYPE_OHLE]:[TRACK_TYPE_NARROW_GAUGE_RAILTYPE_NONE]],_xlfn.LAMBDA(_xlpm.r,OR(_xlpm.r))),FALSE)</f>
        <v>0</v>
      </c>
      <c r="AG483" s="43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3197</v>
      </c>
      <c r="B484" s="45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43" t="b" cm="1">
        <f t="array" ref="AE484">IFERROR(_xlfn.BYROW(TRACK_TYPES[[#This Row],[TRACK_TYPE_STANDARD_GAUGE_RAILTYPE_OHLE]:[TRACK_TYPE_STANDARD_GAUGE_RAILTYPE_NONE]],_xlfn.LAMBDA(_xlpm.r,OR(_xlpm.r))),FALSE)</f>
        <v>0</v>
      </c>
      <c r="AF484" s="43" t="b" cm="1">
        <f t="array" ref="AF484">IFERROR(_xlfn.BYROW(TRACK_TYPES[[#This Row],[TRACK_TYPE_NARROW_GAUGE_RAILTYPE_OHLE]:[TRACK_TYPE_NARROW_GAUGE_RAILTYPE_NONE]],_xlfn.LAMBDA(_xlpm.r,OR(_xlpm.r))),FALSE)</f>
        <v>1</v>
      </c>
      <c r="AG484" s="43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3198</v>
      </c>
      <c r="B485" s="45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43" t="b" cm="1">
        <f t="array" ref="AE485">IFERROR(_xlfn.BYROW(TRACK_TYPES[[#This Row],[TRACK_TYPE_STANDARD_GAUGE_RAILTYPE_OHLE]:[TRACK_TYPE_STANDARD_GAUGE_RAILTYPE_NONE]],_xlfn.LAMBDA(_xlpm.r,OR(_xlpm.r))),FALSE)</f>
        <v>0</v>
      </c>
      <c r="AF485" s="43" t="b" cm="1">
        <f t="array" ref="AF485">IFERROR(_xlfn.BYROW(TRACK_TYPES[[#This Row],[TRACK_TYPE_NARROW_GAUGE_RAILTYPE_OHLE]:[TRACK_TYPE_NARROW_GAUGE_RAILTYPE_NONE]],_xlfn.LAMBDA(_xlpm.r,OR(_xlpm.r))),FALSE)</f>
        <v>0</v>
      </c>
      <c r="AG485" s="43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3199</v>
      </c>
      <c r="B486" s="45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43" t="b" cm="1">
        <f t="array" ref="AE486">IFERROR(_xlfn.BYROW(TRACK_TYPES[[#This Row],[TRACK_TYPE_STANDARD_GAUGE_RAILTYPE_OHLE]:[TRACK_TYPE_STANDARD_GAUGE_RAILTYPE_NONE]],_xlfn.LAMBDA(_xlpm.r,OR(_xlpm.r))),FALSE)</f>
        <v>1</v>
      </c>
      <c r="AF486" s="43" t="b" cm="1">
        <f t="array" ref="AF486">IFERROR(_xlfn.BYROW(TRACK_TYPES[[#This Row],[TRACK_TYPE_NARROW_GAUGE_RAILTYPE_OHLE]:[TRACK_TYPE_NARROW_GAUGE_RAILTYPE_NONE]],_xlfn.LAMBDA(_xlpm.r,OR(_xlpm.r))),FALSE)</f>
        <v>0</v>
      </c>
      <c r="AG486" s="43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3200</v>
      </c>
      <c r="B487" s="45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43" t="b" cm="1">
        <f t="array" ref="AE487">IFERROR(_xlfn.BYROW(TRACK_TYPES[[#This Row],[TRACK_TYPE_STANDARD_GAUGE_RAILTYPE_OHLE]:[TRACK_TYPE_STANDARD_GAUGE_RAILTYPE_NONE]],_xlfn.LAMBDA(_xlpm.r,OR(_xlpm.r))),FALSE)</f>
        <v>0</v>
      </c>
      <c r="AF487" s="43" t="b" cm="1">
        <f t="array" ref="AF487">IFERROR(_xlfn.BYROW(TRACK_TYPES[[#This Row],[TRACK_TYPE_NARROW_GAUGE_RAILTYPE_OHLE]:[TRACK_TYPE_NARROW_GAUGE_RAILTYPE_NONE]],_xlfn.LAMBDA(_xlpm.r,OR(_xlpm.r))),FALSE)</f>
        <v>0</v>
      </c>
      <c r="AG487" s="43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3201</v>
      </c>
      <c r="B488" s="45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43" t="b" cm="1">
        <f t="array" ref="AE488">IFERROR(_xlfn.BYROW(TRACK_TYPES[[#This Row],[TRACK_TYPE_STANDARD_GAUGE_RAILTYPE_OHLE]:[TRACK_TYPE_STANDARD_GAUGE_RAILTYPE_NONE]],_xlfn.LAMBDA(_xlpm.r,OR(_xlpm.r))),FALSE)</f>
        <v>0</v>
      </c>
      <c r="AF488" s="43" t="b" cm="1">
        <f t="array" ref="AF488">IFERROR(_xlfn.BYROW(TRACK_TYPES[[#This Row],[TRACK_TYPE_NARROW_GAUGE_RAILTYPE_OHLE]:[TRACK_TYPE_NARROW_GAUGE_RAILTYPE_NONE]],_xlfn.LAMBDA(_xlpm.r,OR(_xlpm.r))),FALSE)</f>
        <v>1</v>
      </c>
      <c r="AG488" s="43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3202</v>
      </c>
      <c r="B489" s="45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43" t="b" cm="1">
        <f t="array" ref="AE489">IFERROR(_xlfn.BYROW(TRACK_TYPES[[#This Row],[TRACK_TYPE_STANDARD_GAUGE_RAILTYPE_OHLE]:[TRACK_TYPE_STANDARD_GAUGE_RAILTYPE_NONE]],_xlfn.LAMBDA(_xlpm.r,OR(_xlpm.r))),FALSE)</f>
        <v>1</v>
      </c>
      <c r="AF489" s="43" t="b" cm="1">
        <f t="array" ref="AF489">IFERROR(_xlfn.BYROW(TRACK_TYPES[[#This Row],[TRACK_TYPE_NARROW_GAUGE_RAILTYPE_OHLE]:[TRACK_TYPE_NARROW_GAUGE_RAILTYPE_NONE]],_xlfn.LAMBDA(_xlpm.r,OR(_xlpm.r))),FALSE)</f>
        <v>0</v>
      </c>
      <c r="AG489" s="43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3203</v>
      </c>
      <c r="B490" s="45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43" t="b" cm="1">
        <f t="array" ref="AE490">IFERROR(_xlfn.BYROW(TRACK_TYPES[[#This Row],[TRACK_TYPE_STANDARD_GAUGE_RAILTYPE_OHLE]:[TRACK_TYPE_STANDARD_GAUGE_RAILTYPE_NONE]],_xlfn.LAMBDA(_xlpm.r,OR(_xlpm.r))),FALSE)</f>
        <v>0</v>
      </c>
      <c r="AF490" s="43" t="b" cm="1">
        <f t="array" ref="AF490">IFERROR(_xlfn.BYROW(TRACK_TYPES[[#This Row],[TRACK_TYPE_NARROW_GAUGE_RAILTYPE_OHLE]:[TRACK_TYPE_NARROW_GAUGE_RAILTYPE_NONE]],_xlfn.LAMBDA(_xlpm.r,OR(_xlpm.r))),FALSE)</f>
        <v>1</v>
      </c>
      <c r="AG490" s="43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3204</v>
      </c>
      <c r="B491" s="45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43" t="b" cm="1">
        <f t="array" ref="AE491">IFERROR(_xlfn.BYROW(TRACK_TYPES[[#This Row],[TRACK_TYPE_STANDARD_GAUGE_RAILTYPE_OHLE]:[TRACK_TYPE_STANDARD_GAUGE_RAILTYPE_NONE]],_xlfn.LAMBDA(_xlpm.r,OR(_xlpm.r))),FALSE)</f>
        <v>1</v>
      </c>
      <c r="AF491" s="43" t="b" cm="1">
        <f t="array" ref="AF491">IFERROR(_xlfn.BYROW(TRACK_TYPES[[#This Row],[TRACK_TYPE_NARROW_GAUGE_RAILTYPE_OHLE]:[TRACK_TYPE_NARROW_GAUGE_RAILTYPE_NONE]],_xlfn.LAMBDA(_xlpm.r,OR(_xlpm.r))),FALSE)</f>
        <v>0</v>
      </c>
      <c r="AG491" s="43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3205</v>
      </c>
      <c r="B492" s="45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43" t="b" cm="1">
        <f t="array" ref="AE492">IFERROR(_xlfn.BYROW(TRACK_TYPES[[#This Row],[TRACK_TYPE_STANDARD_GAUGE_RAILTYPE_OHLE]:[TRACK_TYPE_STANDARD_GAUGE_RAILTYPE_NONE]],_xlfn.LAMBDA(_xlpm.r,OR(_xlpm.r))),FALSE)</f>
        <v>1</v>
      </c>
      <c r="AF492" s="43" t="b" cm="1">
        <f t="array" ref="AF492">IFERROR(_xlfn.BYROW(TRACK_TYPES[[#This Row],[TRACK_TYPE_NARROW_GAUGE_RAILTYPE_OHLE]:[TRACK_TYPE_NARROW_GAUGE_RAILTYPE_NONE]],_xlfn.LAMBDA(_xlpm.r,OR(_xlpm.r))),FALSE)</f>
        <v>0</v>
      </c>
      <c r="AG492" s="43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3206</v>
      </c>
      <c r="B493" s="45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43" t="b" cm="1">
        <f t="array" ref="AE493">IFERROR(_xlfn.BYROW(TRACK_TYPES[[#This Row],[TRACK_TYPE_STANDARD_GAUGE_RAILTYPE_OHLE]:[TRACK_TYPE_STANDARD_GAUGE_RAILTYPE_NONE]],_xlfn.LAMBDA(_xlpm.r,OR(_xlpm.r))),FALSE)</f>
        <v>1</v>
      </c>
      <c r="AF493" s="43" t="b" cm="1">
        <f t="array" ref="AF493">IFERROR(_xlfn.BYROW(TRACK_TYPES[[#This Row],[TRACK_TYPE_NARROW_GAUGE_RAILTYPE_OHLE]:[TRACK_TYPE_NARROW_GAUGE_RAILTYPE_NONE]],_xlfn.LAMBDA(_xlpm.r,OR(_xlpm.r))),FALSE)</f>
        <v>0</v>
      </c>
      <c r="AG493" s="43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3207</v>
      </c>
      <c r="B494" s="45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43" t="b" cm="1">
        <f t="array" ref="AE494">IFERROR(_xlfn.BYROW(TRACK_TYPES[[#This Row],[TRACK_TYPE_STANDARD_GAUGE_RAILTYPE_OHLE]:[TRACK_TYPE_STANDARD_GAUGE_RAILTYPE_NONE]],_xlfn.LAMBDA(_xlpm.r,OR(_xlpm.r))),FALSE)</f>
        <v>1</v>
      </c>
      <c r="AF494" s="43" t="b" cm="1">
        <f t="array" ref="AF494">IFERROR(_xlfn.BYROW(TRACK_TYPES[[#This Row],[TRACK_TYPE_NARROW_GAUGE_RAILTYPE_OHLE]:[TRACK_TYPE_NARROW_GAUGE_RAILTYPE_NONE]],_xlfn.LAMBDA(_xlpm.r,OR(_xlpm.r))),FALSE)</f>
        <v>0</v>
      </c>
      <c r="AG494" s="43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3208</v>
      </c>
      <c r="B495" s="45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43" t="b" cm="1">
        <f t="array" ref="AE495">IFERROR(_xlfn.BYROW(TRACK_TYPES[[#This Row],[TRACK_TYPE_STANDARD_GAUGE_RAILTYPE_OHLE]:[TRACK_TYPE_STANDARD_GAUGE_RAILTYPE_NONE]],_xlfn.LAMBDA(_xlpm.r,OR(_xlpm.r))),FALSE)</f>
        <v>1</v>
      </c>
      <c r="AF495" s="43" t="b" cm="1">
        <f t="array" ref="AF495">IFERROR(_xlfn.BYROW(TRACK_TYPES[[#This Row],[TRACK_TYPE_NARROW_GAUGE_RAILTYPE_OHLE]:[TRACK_TYPE_NARROW_GAUGE_RAILTYPE_NONE]],_xlfn.LAMBDA(_xlpm.r,OR(_xlpm.r))),FALSE)</f>
        <v>0</v>
      </c>
      <c r="AG495" s="43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3209</v>
      </c>
      <c r="B496" s="45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43" t="b" cm="1">
        <f t="array" ref="AE496">IFERROR(_xlfn.BYROW(TRACK_TYPES[[#This Row],[TRACK_TYPE_STANDARD_GAUGE_RAILTYPE_OHLE]:[TRACK_TYPE_STANDARD_GAUGE_RAILTYPE_NONE]],_xlfn.LAMBDA(_xlpm.r,OR(_xlpm.r))),FALSE)</f>
        <v>0</v>
      </c>
      <c r="AF496" s="43" t="b" cm="1">
        <f t="array" ref="AF496">IFERROR(_xlfn.BYROW(TRACK_TYPES[[#This Row],[TRACK_TYPE_NARROW_GAUGE_RAILTYPE_OHLE]:[TRACK_TYPE_NARROW_GAUGE_RAILTYPE_NONE]],_xlfn.LAMBDA(_xlpm.r,OR(_xlpm.r))),FALSE)</f>
        <v>1</v>
      </c>
      <c r="AG496" s="43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3210</v>
      </c>
      <c r="B497" s="45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43" t="b" cm="1">
        <f t="array" ref="AE497">IFERROR(_xlfn.BYROW(TRACK_TYPES[[#This Row],[TRACK_TYPE_STANDARD_GAUGE_RAILTYPE_OHLE]:[TRACK_TYPE_STANDARD_GAUGE_RAILTYPE_NONE]],_xlfn.LAMBDA(_xlpm.r,OR(_xlpm.r))),FALSE)</f>
        <v>0</v>
      </c>
      <c r="AF497" s="43" t="b" cm="1">
        <f t="array" ref="AF497">IFERROR(_xlfn.BYROW(TRACK_TYPES[[#This Row],[TRACK_TYPE_NARROW_GAUGE_RAILTYPE_OHLE]:[TRACK_TYPE_NARROW_GAUGE_RAILTYPE_NONE]],_xlfn.LAMBDA(_xlpm.r,OR(_xlpm.r))),FALSE)</f>
        <v>1</v>
      </c>
      <c r="AG497" s="43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3211</v>
      </c>
      <c r="B498" s="45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43" t="b" cm="1">
        <f t="array" ref="AE498">IFERROR(_xlfn.BYROW(TRACK_TYPES[[#This Row],[TRACK_TYPE_STANDARD_GAUGE_RAILTYPE_OHLE]:[TRACK_TYPE_STANDARD_GAUGE_RAILTYPE_NONE]],_xlfn.LAMBDA(_xlpm.r,OR(_xlpm.r))),FALSE)</f>
        <v>0</v>
      </c>
      <c r="AF498" s="43" t="b" cm="1">
        <f t="array" ref="AF498">IFERROR(_xlfn.BYROW(TRACK_TYPES[[#This Row],[TRACK_TYPE_NARROW_GAUGE_RAILTYPE_OHLE]:[TRACK_TYPE_NARROW_GAUGE_RAILTYPE_NONE]],_xlfn.LAMBDA(_xlpm.r,OR(_xlpm.r))),FALSE)</f>
        <v>1</v>
      </c>
      <c r="AG498" s="43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3212</v>
      </c>
      <c r="B499" s="45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43" t="b" cm="1">
        <f t="array" ref="AE499">IFERROR(_xlfn.BYROW(TRACK_TYPES[[#This Row],[TRACK_TYPE_STANDARD_GAUGE_RAILTYPE_OHLE]:[TRACK_TYPE_STANDARD_GAUGE_RAILTYPE_NONE]],_xlfn.LAMBDA(_xlpm.r,OR(_xlpm.r))),FALSE)</f>
        <v>1</v>
      </c>
      <c r="AF499" s="43" t="b" cm="1">
        <f t="array" ref="AF499">IFERROR(_xlfn.BYROW(TRACK_TYPES[[#This Row],[TRACK_TYPE_NARROW_GAUGE_RAILTYPE_OHLE]:[TRACK_TYPE_NARROW_GAUGE_RAILTYPE_NONE]],_xlfn.LAMBDA(_xlpm.r,OR(_xlpm.r))),FALSE)</f>
        <v>0</v>
      </c>
      <c r="AG499" s="43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3213</v>
      </c>
      <c r="B500" s="45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43" t="b" cm="1">
        <f t="array" ref="AE500">IFERROR(_xlfn.BYROW(TRACK_TYPES[[#This Row],[TRACK_TYPE_STANDARD_GAUGE_RAILTYPE_OHLE]:[TRACK_TYPE_STANDARD_GAUGE_RAILTYPE_NONE]],_xlfn.LAMBDA(_xlpm.r,OR(_xlpm.r))),FALSE)</f>
        <v>1</v>
      </c>
      <c r="AF500" s="43" t="b" cm="1">
        <f t="array" ref="AF500">IFERROR(_xlfn.BYROW(TRACK_TYPES[[#This Row],[TRACK_TYPE_NARROW_GAUGE_RAILTYPE_OHLE]:[TRACK_TYPE_NARROW_GAUGE_RAILTYPE_NONE]],_xlfn.LAMBDA(_xlpm.r,OR(_xlpm.r))),FALSE)</f>
        <v>0</v>
      </c>
      <c r="AG500" s="43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3214</v>
      </c>
      <c r="B501" s="45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43" t="b" cm="1">
        <f t="array" ref="AE501">IFERROR(_xlfn.BYROW(TRACK_TYPES[[#This Row],[TRACK_TYPE_STANDARD_GAUGE_RAILTYPE_OHLE]:[TRACK_TYPE_STANDARD_GAUGE_RAILTYPE_NONE]],_xlfn.LAMBDA(_xlpm.r,OR(_xlpm.r))),FALSE)</f>
        <v>1</v>
      </c>
      <c r="AF501" s="43" t="b" cm="1">
        <f t="array" ref="AF501">IFERROR(_xlfn.BYROW(TRACK_TYPES[[#This Row],[TRACK_TYPE_NARROW_GAUGE_RAILTYPE_OHLE]:[TRACK_TYPE_NARROW_GAUGE_RAILTYPE_NONE]],_xlfn.LAMBDA(_xlpm.r,OR(_xlpm.r))),FALSE)</f>
        <v>0</v>
      </c>
      <c r="AG501" s="43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3215</v>
      </c>
      <c r="B502" s="45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43" t="b" cm="1">
        <f t="array" ref="AE502">IFERROR(_xlfn.BYROW(TRACK_TYPES[[#This Row],[TRACK_TYPE_STANDARD_GAUGE_RAILTYPE_OHLE]:[TRACK_TYPE_STANDARD_GAUGE_RAILTYPE_NONE]],_xlfn.LAMBDA(_xlpm.r,OR(_xlpm.r))),FALSE)</f>
        <v>0</v>
      </c>
      <c r="AF502" s="43" t="b" cm="1">
        <f t="array" ref="AF502">IFERROR(_xlfn.BYROW(TRACK_TYPES[[#This Row],[TRACK_TYPE_NARROW_GAUGE_RAILTYPE_OHLE]:[TRACK_TYPE_NARROW_GAUGE_RAILTYPE_NONE]],_xlfn.LAMBDA(_xlpm.r,OR(_xlpm.r))),FALSE)</f>
        <v>0</v>
      </c>
      <c r="AG502" s="43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3216</v>
      </c>
      <c r="B503" s="45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43" t="b" cm="1">
        <f t="array" ref="AE503">IFERROR(_xlfn.BYROW(TRACK_TYPES[[#This Row],[TRACK_TYPE_STANDARD_GAUGE_RAILTYPE_OHLE]:[TRACK_TYPE_STANDARD_GAUGE_RAILTYPE_NONE]],_xlfn.LAMBDA(_xlpm.r,OR(_xlpm.r))),FALSE)</f>
        <v>0</v>
      </c>
      <c r="AF503" s="43" t="b" cm="1">
        <f t="array" ref="AF503">IFERROR(_xlfn.BYROW(TRACK_TYPES[[#This Row],[TRACK_TYPE_NARROW_GAUGE_RAILTYPE_OHLE]:[TRACK_TYPE_NARROW_GAUGE_RAILTYPE_NONE]],_xlfn.LAMBDA(_xlpm.r,OR(_xlpm.r))),FALSE)</f>
        <v>0</v>
      </c>
      <c r="AG503" s="43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3217</v>
      </c>
      <c r="B504" s="45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43" t="b" cm="1">
        <f t="array" ref="AE504">IFERROR(_xlfn.BYROW(TRACK_TYPES[[#This Row],[TRACK_TYPE_STANDARD_GAUGE_RAILTYPE_OHLE]:[TRACK_TYPE_STANDARD_GAUGE_RAILTYPE_NONE]],_xlfn.LAMBDA(_xlpm.r,OR(_xlpm.r))),FALSE)</f>
        <v>0</v>
      </c>
      <c r="AF504" s="43" t="b" cm="1">
        <f t="array" ref="AF504">IFERROR(_xlfn.BYROW(TRACK_TYPES[[#This Row],[TRACK_TYPE_NARROW_GAUGE_RAILTYPE_OHLE]:[TRACK_TYPE_NARROW_GAUGE_RAILTYPE_NONE]],_xlfn.LAMBDA(_xlpm.r,OR(_xlpm.r))),FALSE)</f>
        <v>0</v>
      </c>
      <c r="AG504" s="43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3218</v>
      </c>
      <c r="B505" s="45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43" t="b" cm="1">
        <f t="array" ref="AE505">IFERROR(_xlfn.BYROW(TRACK_TYPES[[#This Row],[TRACK_TYPE_STANDARD_GAUGE_RAILTYPE_OHLE]:[TRACK_TYPE_STANDARD_GAUGE_RAILTYPE_NONE]],_xlfn.LAMBDA(_xlpm.r,OR(_xlpm.r))),FALSE)</f>
        <v>1</v>
      </c>
      <c r="AF505" s="43" t="b" cm="1">
        <f t="array" ref="AF505">IFERROR(_xlfn.BYROW(TRACK_TYPES[[#This Row],[TRACK_TYPE_NARROW_GAUGE_RAILTYPE_OHLE]:[TRACK_TYPE_NARROW_GAUGE_RAILTYPE_NONE]],_xlfn.LAMBDA(_xlpm.r,OR(_xlpm.r))),FALSE)</f>
        <v>0</v>
      </c>
      <c r="AG505" s="43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3219</v>
      </c>
      <c r="B506" s="45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43" t="b" cm="1">
        <f t="array" ref="AE506">IFERROR(_xlfn.BYROW(TRACK_TYPES[[#This Row],[TRACK_TYPE_STANDARD_GAUGE_RAILTYPE_OHLE]:[TRACK_TYPE_STANDARD_GAUGE_RAILTYPE_NONE]],_xlfn.LAMBDA(_xlpm.r,OR(_xlpm.r))),FALSE)</f>
        <v>1</v>
      </c>
      <c r="AF506" s="43" t="b" cm="1">
        <f t="array" ref="AF506">IFERROR(_xlfn.BYROW(TRACK_TYPES[[#This Row],[TRACK_TYPE_NARROW_GAUGE_RAILTYPE_OHLE]:[TRACK_TYPE_NARROW_GAUGE_RAILTYPE_NONE]],_xlfn.LAMBDA(_xlpm.r,OR(_xlpm.r))),FALSE)</f>
        <v>0</v>
      </c>
      <c r="AG506" s="43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3220</v>
      </c>
      <c r="B507" s="45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43" t="b" cm="1">
        <f t="array" ref="AE507">IFERROR(_xlfn.BYROW(TRACK_TYPES[[#This Row],[TRACK_TYPE_STANDARD_GAUGE_RAILTYPE_OHLE]:[TRACK_TYPE_STANDARD_GAUGE_RAILTYPE_NONE]],_xlfn.LAMBDA(_xlpm.r,OR(_xlpm.r))),FALSE)</f>
        <v>1</v>
      </c>
      <c r="AF507" s="43" t="b" cm="1">
        <f t="array" ref="AF507">IFERROR(_xlfn.BYROW(TRACK_TYPES[[#This Row],[TRACK_TYPE_NARROW_GAUGE_RAILTYPE_OHLE]:[TRACK_TYPE_NARROW_GAUGE_RAILTYPE_NONE]],_xlfn.LAMBDA(_xlpm.r,OR(_xlpm.r))),FALSE)</f>
        <v>0</v>
      </c>
      <c r="AG507" s="43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3221</v>
      </c>
      <c r="B508" s="45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43" t="b" cm="1">
        <f t="array" ref="AE508">IFERROR(_xlfn.BYROW(TRACK_TYPES[[#This Row],[TRACK_TYPE_STANDARD_GAUGE_RAILTYPE_OHLE]:[TRACK_TYPE_STANDARD_GAUGE_RAILTYPE_NONE]],_xlfn.LAMBDA(_xlpm.r,OR(_xlpm.r))),FALSE)</f>
        <v>1</v>
      </c>
      <c r="AF508" s="43" t="b" cm="1">
        <f t="array" ref="AF508">IFERROR(_xlfn.BYROW(TRACK_TYPES[[#This Row],[TRACK_TYPE_NARROW_GAUGE_RAILTYPE_OHLE]:[TRACK_TYPE_NARROW_GAUGE_RAILTYPE_NONE]],_xlfn.LAMBDA(_xlpm.r,OR(_xlpm.r))),FALSE)</f>
        <v>0</v>
      </c>
      <c r="AG508" s="43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3222</v>
      </c>
      <c r="B509" s="45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43" t="b" cm="1">
        <f t="array" ref="AE509">IFERROR(_xlfn.BYROW(TRACK_TYPES[[#This Row],[TRACK_TYPE_STANDARD_GAUGE_RAILTYPE_OHLE]:[TRACK_TYPE_STANDARD_GAUGE_RAILTYPE_NONE]],_xlfn.LAMBDA(_xlpm.r,OR(_xlpm.r))),FALSE)</f>
        <v>1</v>
      </c>
      <c r="AF509" s="43" t="b" cm="1">
        <f t="array" ref="AF509">IFERROR(_xlfn.BYROW(TRACK_TYPES[[#This Row],[TRACK_TYPE_NARROW_GAUGE_RAILTYPE_OHLE]:[TRACK_TYPE_NARROW_GAUGE_RAILTYPE_NONE]],_xlfn.LAMBDA(_xlpm.r,OR(_xlpm.r))),FALSE)</f>
        <v>0</v>
      </c>
      <c r="AG509" s="43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3223</v>
      </c>
      <c r="B510" s="45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43" t="b" cm="1">
        <f t="array" ref="AE510">IFERROR(_xlfn.BYROW(TRACK_TYPES[[#This Row],[TRACK_TYPE_STANDARD_GAUGE_RAILTYPE_OHLE]:[TRACK_TYPE_STANDARD_GAUGE_RAILTYPE_NONE]],_xlfn.LAMBDA(_xlpm.r,OR(_xlpm.r))),FALSE)</f>
        <v>1</v>
      </c>
      <c r="AF510" s="43" t="b" cm="1">
        <f t="array" ref="AF510">IFERROR(_xlfn.BYROW(TRACK_TYPES[[#This Row],[TRACK_TYPE_NARROW_GAUGE_RAILTYPE_OHLE]:[TRACK_TYPE_NARROW_GAUGE_RAILTYPE_NONE]],_xlfn.LAMBDA(_xlpm.r,OR(_xlpm.r))),FALSE)</f>
        <v>0</v>
      </c>
      <c r="AG510" s="43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3224</v>
      </c>
      <c r="B511" s="45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43" t="b" cm="1">
        <f t="array" ref="AE511">IFERROR(_xlfn.BYROW(TRACK_TYPES[[#This Row],[TRACK_TYPE_STANDARD_GAUGE_RAILTYPE_OHLE]:[TRACK_TYPE_STANDARD_GAUGE_RAILTYPE_NONE]],_xlfn.LAMBDA(_xlpm.r,OR(_xlpm.r))),FALSE)</f>
        <v>1</v>
      </c>
      <c r="AF511" s="43" t="b" cm="1">
        <f t="array" ref="AF511">IFERROR(_xlfn.BYROW(TRACK_TYPES[[#This Row],[TRACK_TYPE_NARROW_GAUGE_RAILTYPE_OHLE]:[TRACK_TYPE_NARROW_GAUGE_RAILTYPE_NONE]],_xlfn.LAMBDA(_xlpm.r,OR(_xlpm.r))),FALSE)</f>
        <v>0</v>
      </c>
      <c r="AG511" s="43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3225</v>
      </c>
      <c r="B512" s="45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43" t="b" cm="1">
        <f t="array" ref="AE512">IFERROR(_xlfn.BYROW(TRACK_TYPES[[#This Row],[TRACK_TYPE_STANDARD_GAUGE_RAILTYPE_OHLE]:[TRACK_TYPE_STANDARD_GAUGE_RAILTYPE_NONE]],_xlfn.LAMBDA(_xlpm.r,OR(_xlpm.r))),FALSE)</f>
        <v>1</v>
      </c>
      <c r="AF512" s="43" t="b" cm="1">
        <f t="array" ref="AF512">IFERROR(_xlfn.BYROW(TRACK_TYPES[[#This Row],[TRACK_TYPE_NARROW_GAUGE_RAILTYPE_OHLE]:[TRACK_TYPE_NARROW_GAUGE_RAILTYPE_NONE]],_xlfn.LAMBDA(_xlpm.r,OR(_xlpm.r))),FALSE)</f>
        <v>0</v>
      </c>
      <c r="AG512" s="43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3226</v>
      </c>
      <c r="B513" s="45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43" t="b" cm="1">
        <f t="array" ref="AE513">IFERROR(_xlfn.BYROW(TRACK_TYPES[[#This Row],[TRACK_TYPE_STANDARD_GAUGE_RAILTYPE_OHLE]:[TRACK_TYPE_STANDARD_GAUGE_RAILTYPE_NONE]],_xlfn.LAMBDA(_xlpm.r,OR(_xlpm.r))),FALSE)</f>
        <v>1</v>
      </c>
      <c r="AF513" s="43" t="b" cm="1">
        <f t="array" ref="AF513">IFERROR(_xlfn.BYROW(TRACK_TYPES[[#This Row],[TRACK_TYPE_NARROW_GAUGE_RAILTYPE_OHLE]:[TRACK_TYPE_NARROW_GAUGE_RAILTYPE_NONE]],_xlfn.LAMBDA(_xlpm.r,OR(_xlpm.r))),FALSE)</f>
        <v>0</v>
      </c>
      <c r="AG513" s="43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3227</v>
      </c>
      <c r="B514" s="45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43" t="b" cm="1">
        <f t="array" ref="AE514">IFERROR(_xlfn.BYROW(TRACK_TYPES[[#This Row],[TRACK_TYPE_STANDARD_GAUGE_RAILTYPE_OHLE]:[TRACK_TYPE_STANDARD_GAUGE_RAILTYPE_NONE]],_xlfn.LAMBDA(_xlpm.r,OR(_xlpm.r))),FALSE)</f>
        <v>1</v>
      </c>
      <c r="AF514" s="43" t="b" cm="1">
        <f t="array" ref="AF514">IFERROR(_xlfn.BYROW(TRACK_TYPES[[#This Row],[TRACK_TYPE_NARROW_GAUGE_RAILTYPE_OHLE]:[TRACK_TYPE_NARROW_GAUGE_RAILTYPE_NONE]],_xlfn.LAMBDA(_xlpm.r,OR(_xlpm.r))),FALSE)</f>
        <v>0</v>
      </c>
      <c r="AG514" s="43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3228</v>
      </c>
      <c r="B515" s="45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43" t="b" cm="1">
        <f t="array" ref="AE515">IFERROR(_xlfn.BYROW(TRACK_TYPES[[#This Row],[TRACK_TYPE_STANDARD_GAUGE_RAILTYPE_OHLE]:[TRACK_TYPE_STANDARD_GAUGE_RAILTYPE_NONE]],_xlfn.LAMBDA(_xlpm.r,OR(_xlpm.r))),FALSE)</f>
        <v>1</v>
      </c>
      <c r="AF515" s="43" t="b" cm="1">
        <f t="array" ref="AF515">IFERROR(_xlfn.BYROW(TRACK_TYPES[[#This Row],[TRACK_TYPE_NARROW_GAUGE_RAILTYPE_OHLE]:[TRACK_TYPE_NARROW_GAUGE_RAILTYPE_NONE]],_xlfn.LAMBDA(_xlpm.r,OR(_xlpm.r))),FALSE)</f>
        <v>0</v>
      </c>
      <c r="AG515" s="43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3229</v>
      </c>
      <c r="B516" s="45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43" t="b" cm="1">
        <f t="array" ref="AE516">IFERROR(_xlfn.BYROW(TRACK_TYPES[[#This Row],[TRACK_TYPE_STANDARD_GAUGE_RAILTYPE_OHLE]:[TRACK_TYPE_STANDARD_GAUGE_RAILTYPE_NONE]],_xlfn.LAMBDA(_xlpm.r,OR(_xlpm.r))),FALSE)</f>
        <v>1</v>
      </c>
      <c r="AF516" s="43" t="b" cm="1">
        <f t="array" ref="AF516">IFERROR(_xlfn.BYROW(TRACK_TYPES[[#This Row],[TRACK_TYPE_NARROW_GAUGE_RAILTYPE_OHLE]:[TRACK_TYPE_NARROW_GAUGE_RAILTYPE_NONE]],_xlfn.LAMBDA(_xlpm.r,OR(_xlpm.r))),FALSE)</f>
        <v>0</v>
      </c>
      <c r="AG516" s="43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3230</v>
      </c>
      <c r="B517" s="45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43" t="b" cm="1">
        <f t="array" ref="AE517">IFERROR(_xlfn.BYROW(TRACK_TYPES[[#This Row],[TRACK_TYPE_STANDARD_GAUGE_RAILTYPE_OHLE]:[TRACK_TYPE_STANDARD_GAUGE_RAILTYPE_NONE]],_xlfn.LAMBDA(_xlpm.r,OR(_xlpm.r))),FALSE)</f>
        <v>1</v>
      </c>
      <c r="AF517" s="43" t="b" cm="1">
        <f t="array" ref="AF517">IFERROR(_xlfn.BYROW(TRACK_TYPES[[#This Row],[TRACK_TYPE_NARROW_GAUGE_RAILTYPE_OHLE]:[TRACK_TYPE_NARROW_GAUGE_RAILTYPE_NONE]],_xlfn.LAMBDA(_xlpm.r,OR(_xlpm.r))),FALSE)</f>
        <v>0</v>
      </c>
      <c r="AG517" s="43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3231</v>
      </c>
      <c r="B518" s="45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43" t="b" cm="1">
        <f t="array" ref="AE518">IFERROR(_xlfn.BYROW(TRACK_TYPES[[#This Row],[TRACK_TYPE_STANDARD_GAUGE_RAILTYPE_OHLE]:[TRACK_TYPE_STANDARD_GAUGE_RAILTYPE_NONE]],_xlfn.LAMBDA(_xlpm.r,OR(_xlpm.r))),FALSE)</f>
        <v>1</v>
      </c>
      <c r="AF518" s="43" t="b" cm="1">
        <f t="array" ref="AF518">IFERROR(_xlfn.BYROW(TRACK_TYPES[[#This Row],[TRACK_TYPE_NARROW_GAUGE_RAILTYPE_OHLE]:[TRACK_TYPE_NARROW_GAUGE_RAILTYPE_NONE]],_xlfn.LAMBDA(_xlpm.r,OR(_xlpm.r))),FALSE)</f>
        <v>0</v>
      </c>
      <c r="AG518" s="43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3232</v>
      </c>
      <c r="B519" s="45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43" t="b" cm="1">
        <f t="array" ref="AE519">IFERROR(_xlfn.BYROW(TRACK_TYPES[[#This Row],[TRACK_TYPE_STANDARD_GAUGE_RAILTYPE_OHLE]:[TRACK_TYPE_STANDARD_GAUGE_RAILTYPE_NONE]],_xlfn.LAMBDA(_xlpm.r,OR(_xlpm.r))),FALSE)</f>
        <v>1</v>
      </c>
      <c r="AF519" s="43" t="b" cm="1">
        <f t="array" ref="AF519">IFERROR(_xlfn.BYROW(TRACK_TYPES[[#This Row],[TRACK_TYPE_NARROW_GAUGE_RAILTYPE_OHLE]:[TRACK_TYPE_NARROW_GAUGE_RAILTYPE_NONE]],_xlfn.LAMBDA(_xlpm.r,OR(_xlpm.r))),FALSE)</f>
        <v>0</v>
      </c>
      <c r="AG519" s="43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3233</v>
      </c>
      <c r="B520" s="45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43" t="b" cm="1">
        <f t="array" ref="AE520">IFERROR(_xlfn.BYROW(TRACK_TYPES[[#This Row],[TRACK_TYPE_STANDARD_GAUGE_RAILTYPE_OHLE]:[TRACK_TYPE_STANDARD_GAUGE_RAILTYPE_NONE]],_xlfn.LAMBDA(_xlpm.r,OR(_xlpm.r))),FALSE)</f>
        <v>1</v>
      </c>
      <c r="AF520" s="43" t="b" cm="1">
        <f t="array" ref="AF520">IFERROR(_xlfn.BYROW(TRACK_TYPES[[#This Row],[TRACK_TYPE_NARROW_GAUGE_RAILTYPE_OHLE]:[TRACK_TYPE_NARROW_GAUGE_RAILTYPE_NONE]],_xlfn.LAMBDA(_xlpm.r,OR(_xlpm.r))),FALSE)</f>
        <v>0</v>
      </c>
      <c r="AG520" s="43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3234</v>
      </c>
      <c r="B521" s="45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43" t="b" cm="1">
        <f t="array" ref="AE521">IFERROR(_xlfn.BYROW(TRACK_TYPES[[#This Row],[TRACK_TYPE_STANDARD_GAUGE_RAILTYPE_OHLE]:[TRACK_TYPE_STANDARD_GAUGE_RAILTYPE_NONE]],_xlfn.LAMBDA(_xlpm.r,OR(_xlpm.r))),FALSE)</f>
        <v>1</v>
      </c>
      <c r="AF521" s="43" t="b" cm="1">
        <f t="array" ref="AF521">IFERROR(_xlfn.BYROW(TRACK_TYPES[[#This Row],[TRACK_TYPE_NARROW_GAUGE_RAILTYPE_OHLE]:[TRACK_TYPE_NARROW_GAUGE_RAILTYPE_NONE]],_xlfn.LAMBDA(_xlpm.r,OR(_xlpm.r))),FALSE)</f>
        <v>0</v>
      </c>
      <c r="AG521" s="43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3235</v>
      </c>
      <c r="B522" s="45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43" t="b" cm="1">
        <f t="array" ref="AE522">IFERROR(_xlfn.BYROW(TRACK_TYPES[[#This Row],[TRACK_TYPE_STANDARD_GAUGE_RAILTYPE_OHLE]:[TRACK_TYPE_STANDARD_GAUGE_RAILTYPE_NONE]],_xlfn.LAMBDA(_xlpm.r,OR(_xlpm.r))),FALSE)</f>
        <v>1</v>
      </c>
      <c r="AF522" s="43" t="b" cm="1">
        <f t="array" ref="AF522">IFERROR(_xlfn.BYROW(TRACK_TYPES[[#This Row],[TRACK_TYPE_NARROW_GAUGE_RAILTYPE_OHLE]:[TRACK_TYPE_NARROW_GAUGE_RAILTYPE_NONE]],_xlfn.LAMBDA(_xlpm.r,OR(_xlpm.r))),FALSE)</f>
        <v>0</v>
      </c>
      <c r="AG522" s="43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3236</v>
      </c>
      <c r="B523" s="45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43" t="b" cm="1">
        <f t="array" ref="AE523">IFERROR(_xlfn.BYROW(TRACK_TYPES[[#This Row],[TRACK_TYPE_STANDARD_GAUGE_RAILTYPE_OHLE]:[TRACK_TYPE_STANDARD_GAUGE_RAILTYPE_NONE]],_xlfn.LAMBDA(_xlpm.r,OR(_xlpm.r))),FALSE)</f>
        <v>1</v>
      </c>
      <c r="AF523" s="43" t="b" cm="1">
        <f t="array" ref="AF523">IFERROR(_xlfn.BYROW(TRACK_TYPES[[#This Row],[TRACK_TYPE_NARROW_GAUGE_RAILTYPE_OHLE]:[TRACK_TYPE_NARROW_GAUGE_RAILTYPE_NONE]],_xlfn.LAMBDA(_xlpm.r,OR(_xlpm.r))),FALSE)</f>
        <v>0</v>
      </c>
      <c r="AG523" s="43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3237</v>
      </c>
      <c r="B524" s="45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43" t="b" cm="1">
        <f t="array" ref="AE524">IFERROR(_xlfn.BYROW(TRACK_TYPES[[#This Row],[TRACK_TYPE_STANDARD_GAUGE_RAILTYPE_OHLE]:[TRACK_TYPE_STANDARD_GAUGE_RAILTYPE_NONE]],_xlfn.LAMBDA(_xlpm.r,OR(_xlpm.r))),FALSE)</f>
        <v>1</v>
      </c>
      <c r="AF524" s="43" t="b" cm="1">
        <f t="array" ref="AF524">IFERROR(_xlfn.BYROW(TRACK_TYPES[[#This Row],[TRACK_TYPE_NARROW_GAUGE_RAILTYPE_OHLE]:[TRACK_TYPE_NARROW_GAUGE_RAILTYPE_NONE]],_xlfn.LAMBDA(_xlpm.r,OR(_xlpm.r))),FALSE)</f>
        <v>0</v>
      </c>
      <c r="AG524" s="43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3238</v>
      </c>
      <c r="B525" s="45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43" t="b" cm="1">
        <f t="array" ref="AE525">IFERROR(_xlfn.BYROW(TRACK_TYPES[[#This Row],[TRACK_TYPE_STANDARD_GAUGE_RAILTYPE_OHLE]:[TRACK_TYPE_STANDARD_GAUGE_RAILTYPE_NONE]],_xlfn.LAMBDA(_xlpm.r,OR(_xlpm.r))),FALSE)</f>
        <v>1</v>
      </c>
      <c r="AF525" s="43" t="b" cm="1">
        <f t="array" ref="AF525">IFERROR(_xlfn.BYROW(TRACK_TYPES[[#This Row],[TRACK_TYPE_NARROW_GAUGE_RAILTYPE_OHLE]:[TRACK_TYPE_NARROW_GAUGE_RAILTYPE_NONE]],_xlfn.LAMBDA(_xlpm.r,OR(_xlpm.r))),FALSE)</f>
        <v>0</v>
      </c>
      <c r="AG525" s="43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3239</v>
      </c>
      <c r="B526" s="45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43" t="b" cm="1">
        <f t="array" ref="AE526">IFERROR(_xlfn.BYROW(TRACK_TYPES[[#This Row],[TRACK_TYPE_STANDARD_GAUGE_RAILTYPE_OHLE]:[TRACK_TYPE_STANDARD_GAUGE_RAILTYPE_NONE]],_xlfn.LAMBDA(_xlpm.r,OR(_xlpm.r))),FALSE)</f>
        <v>1</v>
      </c>
      <c r="AF526" s="43" t="b" cm="1">
        <f t="array" ref="AF526">IFERROR(_xlfn.BYROW(TRACK_TYPES[[#This Row],[TRACK_TYPE_NARROW_GAUGE_RAILTYPE_OHLE]:[TRACK_TYPE_NARROW_GAUGE_RAILTYPE_NONE]],_xlfn.LAMBDA(_xlpm.r,OR(_xlpm.r))),FALSE)</f>
        <v>0</v>
      </c>
      <c r="AG526" s="43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3240</v>
      </c>
      <c r="B527" s="45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43" t="b" cm="1">
        <f t="array" ref="AE527">IFERROR(_xlfn.BYROW(TRACK_TYPES[[#This Row],[TRACK_TYPE_STANDARD_GAUGE_RAILTYPE_OHLE]:[TRACK_TYPE_STANDARD_GAUGE_RAILTYPE_NONE]],_xlfn.LAMBDA(_xlpm.r,OR(_xlpm.r))),FALSE)</f>
        <v>1</v>
      </c>
      <c r="AF527" s="43" t="b" cm="1">
        <f t="array" ref="AF527">IFERROR(_xlfn.BYROW(TRACK_TYPES[[#This Row],[TRACK_TYPE_NARROW_GAUGE_RAILTYPE_OHLE]:[TRACK_TYPE_NARROW_GAUGE_RAILTYPE_NONE]],_xlfn.LAMBDA(_xlpm.r,OR(_xlpm.r))),FALSE)</f>
        <v>0</v>
      </c>
      <c r="AG527" s="43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3241</v>
      </c>
      <c r="B528" s="45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43" t="b" cm="1">
        <f t="array" ref="AE528">IFERROR(_xlfn.BYROW(TRACK_TYPES[[#This Row],[TRACK_TYPE_STANDARD_GAUGE_RAILTYPE_OHLE]:[TRACK_TYPE_STANDARD_GAUGE_RAILTYPE_NONE]],_xlfn.LAMBDA(_xlpm.r,OR(_xlpm.r))),FALSE)</f>
        <v>1</v>
      </c>
      <c r="AF528" s="43" t="b" cm="1">
        <f t="array" ref="AF528">IFERROR(_xlfn.BYROW(TRACK_TYPES[[#This Row],[TRACK_TYPE_NARROW_GAUGE_RAILTYPE_OHLE]:[TRACK_TYPE_NARROW_GAUGE_RAILTYPE_NONE]],_xlfn.LAMBDA(_xlpm.r,OR(_xlpm.r))),FALSE)</f>
        <v>0</v>
      </c>
      <c r="AG528" s="43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3242</v>
      </c>
      <c r="B529" s="45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43" t="b" cm="1">
        <f t="array" ref="AE529">IFERROR(_xlfn.BYROW(TRACK_TYPES[[#This Row],[TRACK_TYPE_STANDARD_GAUGE_RAILTYPE_OHLE]:[TRACK_TYPE_STANDARD_GAUGE_RAILTYPE_NONE]],_xlfn.LAMBDA(_xlpm.r,OR(_xlpm.r))),FALSE)</f>
        <v>1</v>
      </c>
      <c r="AF529" s="43" t="b" cm="1">
        <f t="array" ref="AF529">IFERROR(_xlfn.BYROW(TRACK_TYPES[[#This Row],[TRACK_TYPE_NARROW_GAUGE_RAILTYPE_OHLE]:[TRACK_TYPE_NARROW_GAUGE_RAILTYPE_NONE]],_xlfn.LAMBDA(_xlpm.r,OR(_xlpm.r))),FALSE)</f>
        <v>0</v>
      </c>
      <c r="AG529" s="43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3243</v>
      </c>
      <c r="B530" s="45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43" t="b" cm="1">
        <f t="array" ref="AE530">IFERROR(_xlfn.BYROW(TRACK_TYPES[[#This Row],[TRACK_TYPE_STANDARD_GAUGE_RAILTYPE_OHLE]:[TRACK_TYPE_STANDARD_GAUGE_RAILTYPE_NONE]],_xlfn.LAMBDA(_xlpm.r,OR(_xlpm.r))),FALSE)</f>
        <v>1</v>
      </c>
      <c r="AF530" s="43" t="b" cm="1">
        <f t="array" ref="AF530">IFERROR(_xlfn.BYROW(TRACK_TYPES[[#This Row],[TRACK_TYPE_NARROW_GAUGE_RAILTYPE_OHLE]:[TRACK_TYPE_NARROW_GAUGE_RAILTYPE_NONE]],_xlfn.LAMBDA(_xlpm.r,OR(_xlpm.r))),FALSE)</f>
        <v>0</v>
      </c>
      <c r="AG530" s="43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3244</v>
      </c>
      <c r="B531" s="45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43" t="b" cm="1">
        <f t="array" ref="AE531">IFERROR(_xlfn.BYROW(TRACK_TYPES[[#This Row],[TRACK_TYPE_STANDARD_GAUGE_RAILTYPE_OHLE]:[TRACK_TYPE_STANDARD_GAUGE_RAILTYPE_NONE]],_xlfn.LAMBDA(_xlpm.r,OR(_xlpm.r))),FALSE)</f>
        <v>1</v>
      </c>
      <c r="AF531" s="43" t="b" cm="1">
        <f t="array" ref="AF531">IFERROR(_xlfn.BYROW(TRACK_TYPES[[#This Row],[TRACK_TYPE_NARROW_GAUGE_RAILTYPE_OHLE]:[TRACK_TYPE_NARROW_GAUGE_RAILTYPE_NONE]],_xlfn.LAMBDA(_xlpm.r,OR(_xlpm.r))),FALSE)</f>
        <v>0</v>
      </c>
      <c r="AG531" s="43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3245</v>
      </c>
      <c r="B532" s="45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43" t="b" cm="1">
        <f t="array" ref="AE532">IFERROR(_xlfn.BYROW(TRACK_TYPES[[#This Row],[TRACK_TYPE_STANDARD_GAUGE_RAILTYPE_OHLE]:[TRACK_TYPE_STANDARD_GAUGE_RAILTYPE_NONE]],_xlfn.LAMBDA(_xlpm.r,OR(_xlpm.r))),FALSE)</f>
        <v>1</v>
      </c>
      <c r="AF532" s="43" t="b" cm="1">
        <f t="array" ref="AF532">IFERROR(_xlfn.BYROW(TRACK_TYPES[[#This Row],[TRACK_TYPE_NARROW_GAUGE_RAILTYPE_OHLE]:[TRACK_TYPE_NARROW_GAUGE_RAILTYPE_NONE]],_xlfn.LAMBDA(_xlpm.r,OR(_xlpm.r))),FALSE)</f>
        <v>0</v>
      </c>
      <c r="AG532" s="43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3246</v>
      </c>
      <c r="B533" s="45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43" t="b" cm="1">
        <f t="array" ref="AE533">IFERROR(_xlfn.BYROW(TRACK_TYPES[[#This Row],[TRACK_TYPE_STANDARD_GAUGE_RAILTYPE_OHLE]:[TRACK_TYPE_STANDARD_GAUGE_RAILTYPE_NONE]],_xlfn.LAMBDA(_xlpm.r,OR(_xlpm.r))),FALSE)</f>
        <v>1</v>
      </c>
      <c r="AF533" s="43" t="b" cm="1">
        <f t="array" ref="AF533">IFERROR(_xlfn.BYROW(TRACK_TYPES[[#This Row],[TRACK_TYPE_NARROW_GAUGE_RAILTYPE_OHLE]:[TRACK_TYPE_NARROW_GAUGE_RAILTYPE_NONE]],_xlfn.LAMBDA(_xlpm.r,OR(_xlpm.r))),FALSE)</f>
        <v>0</v>
      </c>
      <c r="AG533" s="43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3247</v>
      </c>
      <c r="B534" s="45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43" t="b" cm="1">
        <f t="array" ref="AE534">IFERROR(_xlfn.BYROW(TRACK_TYPES[[#This Row],[TRACK_TYPE_STANDARD_GAUGE_RAILTYPE_OHLE]:[TRACK_TYPE_STANDARD_GAUGE_RAILTYPE_NONE]],_xlfn.LAMBDA(_xlpm.r,OR(_xlpm.r))),FALSE)</f>
        <v>1</v>
      </c>
      <c r="AF534" s="43" t="b" cm="1">
        <f t="array" ref="AF534">IFERROR(_xlfn.BYROW(TRACK_TYPES[[#This Row],[TRACK_TYPE_NARROW_GAUGE_RAILTYPE_OHLE]:[TRACK_TYPE_NARROW_GAUGE_RAILTYPE_NONE]],_xlfn.LAMBDA(_xlpm.r,OR(_xlpm.r))),FALSE)</f>
        <v>0</v>
      </c>
      <c r="AG534" s="43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3248</v>
      </c>
      <c r="B535" s="45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43" t="b" cm="1">
        <f t="array" ref="AE535">IFERROR(_xlfn.BYROW(TRACK_TYPES[[#This Row],[TRACK_TYPE_STANDARD_GAUGE_RAILTYPE_OHLE]:[TRACK_TYPE_STANDARD_GAUGE_RAILTYPE_NONE]],_xlfn.LAMBDA(_xlpm.r,OR(_xlpm.r))),FALSE)</f>
        <v>1</v>
      </c>
      <c r="AF535" s="43" t="b" cm="1">
        <f t="array" ref="AF535">IFERROR(_xlfn.BYROW(TRACK_TYPES[[#This Row],[TRACK_TYPE_NARROW_GAUGE_RAILTYPE_OHLE]:[TRACK_TYPE_NARROW_GAUGE_RAILTYPE_NONE]],_xlfn.LAMBDA(_xlpm.r,OR(_xlpm.r))),FALSE)</f>
        <v>0</v>
      </c>
      <c r="AG535" s="43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3249</v>
      </c>
      <c r="B536" s="45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43" t="b" cm="1">
        <f t="array" ref="AE536">IFERROR(_xlfn.BYROW(TRACK_TYPES[[#This Row],[TRACK_TYPE_STANDARD_GAUGE_RAILTYPE_OHLE]:[TRACK_TYPE_STANDARD_GAUGE_RAILTYPE_NONE]],_xlfn.LAMBDA(_xlpm.r,OR(_xlpm.r))),FALSE)</f>
        <v>1</v>
      </c>
      <c r="AF536" s="43" t="b" cm="1">
        <f t="array" ref="AF536">IFERROR(_xlfn.BYROW(TRACK_TYPES[[#This Row],[TRACK_TYPE_NARROW_GAUGE_RAILTYPE_OHLE]:[TRACK_TYPE_NARROW_GAUGE_RAILTYPE_NONE]],_xlfn.LAMBDA(_xlpm.r,OR(_xlpm.r))),FALSE)</f>
        <v>0</v>
      </c>
      <c r="AG536" s="43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3250</v>
      </c>
      <c r="B537" s="45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43" t="b" cm="1">
        <f t="array" ref="AE537">IFERROR(_xlfn.BYROW(TRACK_TYPES[[#This Row],[TRACK_TYPE_STANDARD_GAUGE_RAILTYPE_OHLE]:[TRACK_TYPE_STANDARD_GAUGE_RAILTYPE_NONE]],_xlfn.LAMBDA(_xlpm.r,OR(_xlpm.r))),FALSE)</f>
        <v>1</v>
      </c>
      <c r="AF537" s="43" t="b" cm="1">
        <f t="array" ref="AF537">IFERROR(_xlfn.BYROW(TRACK_TYPES[[#This Row],[TRACK_TYPE_NARROW_GAUGE_RAILTYPE_OHLE]:[TRACK_TYPE_NARROW_GAUGE_RAILTYPE_NONE]],_xlfn.LAMBDA(_xlpm.r,OR(_xlpm.r))),FALSE)</f>
        <v>0</v>
      </c>
      <c r="AG537" s="43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3251</v>
      </c>
      <c r="B538" s="45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43" t="b" cm="1">
        <f t="array" ref="AE538">IFERROR(_xlfn.BYROW(TRACK_TYPES[[#This Row],[TRACK_TYPE_STANDARD_GAUGE_RAILTYPE_OHLE]:[TRACK_TYPE_STANDARD_GAUGE_RAILTYPE_NONE]],_xlfn.LAMBDA(_xlpm.r,OR(_xlpm.r))),FALSE)</f>
        <v>0</v>
      </c>
      <c r="AF538" s="43" t="b" cm="1">
        <f t="array" ref="AF538">IFERROR(_xlfn.BYROW(TRACK_TYPES[[#This Row],[TRACK_TYPE_NARROW_GAUGE_RAILTYPE_OHLE]:[TRACK_TYPE_NARROW_GAUGE_RAILTYPE_NONE]],_xlfn.LAMBDA(_xlpm.r,OR(_xlpm.r))),FALSE)</f>
        <v>0</v>
      </c>
      <c r="AG538" s="43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3252</v>
      </c>
      <c r="B539" s="45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43" t="b" cm="1">
        <f t="array" ref="AE539">IFERROR(_xlfn.BYROW(TRACK_TYPES[[#This Row],[TRACK_TYPE_STANDARD_GAUGE_RAILTYPE_OHLE]:[TRACK_TYPE_STANDARD_GAUGE_RAILTYPE_NONE]],_xlfn.LAMBDA(_xlpm.r,OR(_xlpm.r))),FALSE)</f>
        <v>0</v>
      </c>
      <c r="AF539" s="43" t="b" cm="1">
        <f t="array" ref="AF539">IFERROR(_xlfn.BYROW(TRACK_TYPES[[#This Row],[TRACK_TYPE_NARROW_GAUGE_RAILTYPE_OHLE]:[TRACK_TYPE_NARROW_GAUGE_RAILTYPE_NONE]],_xlfn.LAMBDA(_xlpm.r,OR(_xlpm.r))),FALSE)</f>
        <v>0</v>
      </c>
      <c r="AG539" s="43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3253</v>
      </c>
      <c r="B540" s="45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43" t="b" cm="1">
        <f t="array" ref="AE540">IFERROR(_xlfn.BYROW(TRACK_TYPES[[#This Row],[TRACK_TYPE_STANDARD_GAUGE_RAILTYPE_OHLE]:[TRACK_TYPE_STANDARD_GAUGE_RAILTYPE_NONE]],_xlfn.LAMBDA(_xlpm.r,OR(_xlpm.r))),FALSE)</f>
        <v>1</v>
      </c>
      <c r="AF540" s="43" t="b" cm="1">
        <f t="array" ref="AF540">IFERROR(_xlfn.BYROW(TRACK_TYPES[[#This Row],[TRACK_TYPE_NARROW_GAUGE_RAILTYPE_OHLE]:[TRACK_TYPE_NARROW_GAUGE_RAILTYPE_NONE]],_xlfn.LAMBDA(_xlpm.r,OR(_xlpm.r))),FALSE)</f>
        <v>0</v>
      </c>
      <c r="AG540" s="43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3254</v>
      </c>
      <c r="B541" s="45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43" t="b" cm="1">
        <f t="array" ref="AE541">IFERROR(_xlfn.BYROW(TRACK_TYPES[[#This Row],[TRACK_TYPE_STANDARD_GAUGE_RAILTYPE_OHLE]:[TRACK_TYPE_STANDARD_GAUGE_RAILTYPE_NONE]],_xlfn.LAMBDA(_xlpm.r,OR(_xlpm.r))),FALSE)</f>
        <v>1</v>
      </c>
      <c r="AF541" s="43" t="b" cm="1">
        <f t="array" ref="AF541">IFERROR(_xlfn.BYROW(TRACK_TYPES[[#This Row],[TRACK_TYPE_NARROW_GAUGE_RAILTYPE_OHLE]:[TRACK_TYPE_NARROW_GAUGE_RAILTYPE_NONE]],_xlfn.LAMBDA(_xlpm.r,OR(_xlpm.r))),FALSE)</f>
        <v>0</v>
      </c>
      <c r="AG541" s="43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3255</v>
      </c>
      <c r="B542" s="45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43" t="b" cm="1">
        <f t="array" ref="AE542">IFERROR(_xlfn.BYROW(TRACK_TYPES[[#This Row],[TRACK_TYPE_STANDARD_GAUGE_RAILTYPE_OHLE]:[TRACK_TYPE_STANDARD_GAUGE_RAILTYPE_NONE]],_xlfn.LAMBDA(_xlpm.r,OR(_xlpm.r))),FALSE)</f>
        <v>1</v>
      </c>
      <c r="AF542" s="43" t="b" cm="1">
        <f t="array" ref="AF542">IFERROR(_xlfn.BYROW(TRACK_TYPES[[#This Row],[TRACK_TYPE_NARROW_GAUGE_RAILTYPE_OHLE]:[TRACK_TYPE_NARROW_GAUGE_RAILTYPE_NONE]],_xlfn.LAMBDA(_xlpm.r,OR(_xlpm.r))),FALSE)</f>
        <v>0</v>
      </c>
      <c r="AG542" s="43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3256</v>
      </c>
      <c r="B543" s="45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43" t="b" cm="1">
        <f t="array" ref="AE543">IFERROR(_xlfn.BYROW(TRACK_TYPES[[#This Row],[TRACK_TYPE_STANDARD_GAUGE_RAILTYPE_OHLE]:[TRACK_TYPE_STANDARD_GAUGE_RAILTYPE_NONE]],_xlfn.LAMBDA(_xlpm.r,OR(_xlpm.r))),FALSE)</f>
        <v>1</v>
      </c>
      <c r="AF543" s="43" t="b" cm="1">
        <f t="array" ref="AF543">IFERROR(_xlfn.BYROW(TRACK_TYPES[[#This Row],[TRACK_TYPE_NARROW_GAUGE_RAILTYPE_OHLE]:[TRACK_TYPE_NARROW_GAUGE_RAILTYPE_NONE]],_xlfn.LAMBDA(_xlpm.r,OR(_xlpm.r))),FALSE)</f>
        <v>0</v>
      </c>
      <c r="AG543" s="43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3257</v>
      </c>
      <c r="B544" s="45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43" t="b" cm="1">
        <f t="array" ref="AE544">IFERROR(_xlfn.BYROW(TRACK_TYPES[[#This Row],[TRACK_TYPE_STANDARD_GAUGE_RAILTYPE_OHLE]:[TRACK_TYPE_STANDARD_GAUGE_RAILTYPE_NONE]],_xlfn.LAMBDA(_xlpm.r,OR(_xlpm.r))),FALSE)</f>
        <v>1</v>
      </c>
      <c r="AF544" s="43" t="b" cm="1">
        <f t="array" ref="AF544">IFERROR(_xlfn.BYROW(TRACK_TYPES[[#This Row],[TRACK_TYPE_NARROW_GAUGE_RAILTYPE_OHLE]:[TRACK_TYPE_NARROW_GAUGE_RAILTYPE_NONE]],_xlfn.LAMBDA(_xlpm.r,OR(_xlpm.r))),FALSE)</f>
        <v>0</v>
      </c>
      <c r="AG544" s="43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3258</v>
      </c>
      <c r="B545" s="45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43" t="b" cm="1">
        <f t="array" ref="AE545">IFERROR(_xlfn.BYROW(TRACK_TYPES[[#This Row],[TRACK_TYPE_STANDARD_GAUGE_RAILTYPE_OHLE]:[TRACK_TYPE_STANDARD_GAUGE_RAILTYPE_NONE]],_xlfn.LAMBDA(_xlpm.r,OR(_xlpm.r))),FALSE)</f>
        <v>1</v>
      </c>
      <c r="AF545" s="43" t="b" cm="1">
        <f t="array" ref="AF545">IFERROR(_xlfn.BYROW(TRACK_TYPES[[#This Row],[TRACK_TYPE_NARROW_GAUGE_RAILTYPE_OHLE]:[TRACK_TYPE_NARROW_GAUGE_RAILTYPE_NONE]],_xlfn.LAMBDA(_xlpm.r,OR(_xlpm.r))),FALSE)</f>
        <v>0</v>
      </c>
      <c r="AG545" s="43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3259</v>
      </c>
      <c r="B546" s="45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43" t="b" cm="1">
        <f t="array" ref="AE546">IFERROR(_xlfn.BYROW(TRACK_TYPES[[#This Row],[TRACK_TYPE_STANDARD_GAUGE_RAILTYPE_OHLE]:[TRACK_TYPE_STANDARD_GAUGE_RAILTYPE_NONE]],_xlfn.LAMBDA(_xlpm.r,OR(_xlpm.r))),FALSE)</f>
        <v>1</v>
      </c>
      <c r="AF546" s="43" t="b" cm="1">
        <f t="array" ref="AF546">IFERROR(_xlfn.BYROW(TRACK_TYPES[[#This Row],[TRACK_TYPE_NARROW_GAUGE_RAILTYPE_OHLE]:[TRACK_TYPE_NARROW_GAUGE_RAILTYPE_NONE]],_xlfn.LAMBDA(_xlpm.r,OR(_xlpm.r))),FALSE)</f>
        <v>0</v>
      </c>
      <c r="AG546" s="43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3526</v>
      </c>
      <c r="B547" s="45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43" t="b" cm="1">
        <f t="array" ref="AE547">IFERROR(_xlfn.BYROW(TRACK_TYPES[[#This Row],[TRACK_TYPE_STANDARD_GAUGE_RAILTYPE_OHLE]:[TRACK_TYPE_STANDARD_GAUGE_RAILTYPE_NONE]],_xlfn.LAMBDA(_xlpm.r,OR(_xlpm.r))),FALSE)</f>
        <v>1</v>
      </c>
      <c r="AF547" s="43" t="b" cm="1">
        <f t="array" ref="AF547">IFERROR(_xlfn.BYROW(TRACK_TYPES[[#This Row],[TRACK_TYPE_NARROW_GAUGE_RAILTYPE_OHLE]:[TRACK_TYPE_NARROW_GAUGE_RAILTYPE_NONE]],_xlfn.LAMBDA(_xlpm.r,OR(_xlpm.r))),FALSE)</f>
        <v>0</v>
      </c>
      <c r="AG547" s="43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3260</v>
      </c>
      <c r="B548" s="45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43" t="b" cm="1">
        <f t="array" ref="AE548">IFERROR(_xlfn.BYROW(TRACK_TYPES[[#This Row],[TRACK_TYPE_STANDARD_GAUGE_RAILTYPE_OHLE]:[TRACK_TYPE_STANDARD_GAUGE_RAILTYPE_NONE]],_xlfn.LAMBDA(_xlpm.r,OR(_xlpm.r))),FALSE)</f>
        <v>1</v>
      </c>
      <c r="AF548" s="43" t="b" cm="1">
        <f t="array" ref="AF548">IFERROR(_xlfn.BYROW(TRACK_TYPES[[#This Row],[TRACK_TYPE_NARROW_GAUGE_RAILTYPE_OHLE]:[TRACK_TYPE_NARROW_GAUGE_RAILTYPE_NONE]],_xlfn.LAMBDA(_xlpm.r,OR(_xlpm.r))),FALSE)</f>
        <v>0</v>
      </c>
      <c r="AG548" s="43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3261</v>
      </c>
      <c r="B549" s="45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43" t="b" cm="1">
        <f t="array" ref="AE549">IFERROR(_xlfn.BYROW(TRACK_TYPES[[#This Row],[TRACK_TYPE_STANDARD_GAUGE_RAILTYPE_OHLE]:[TRACK_TYPE_STANDARD_GAUGE_RAILTYPE_NONE]],_xlfn.LAMBDA(_xlpm.r,OR(_xlpm.r))),FALSE)</f>
        <v>1</v>
      </c>
      <c r="AF549" s="43" t="b" cm="1">
        <f t="array" ref="AF549">IFERROR(_xlfn.BYROW(TRACK_TYPES[[#This Row],[TRACK_TYPE_NARROW_GAUGE_RAILTYPE_OHLE]:[TRACK_TYPE_NARROW_GAUGE_RAILTYPE_NONE]],_xlfn.LAMBDA(_xlpm.r,OR(_xlpm.r))),FALSE)</f>
        <v>0</v>
      </c>
      <c r="AG549" s="43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3262</v>
      </c>
      <c r="B550" s="45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43" t="b" cm="1">
        <f t="array" ref="AE550">IFERROR(_xlfn.BYROW(TRACK_TYPES[[#This Row],[TRACK_TYPE_STANDARD_GAUGE_RAILTYPE_OHLE]:[TRACK_TYPE_STANDARD_GAUGE_RAILTYPE_NONE]],_xlfn.LAMBDA(_xlpm.r,OR(_xlpm.r))),FALSE)</f>
        <v>1</v>
      </c>
      <c r="AF550" s="43" t="b" cm="1">
        <f t="array" ref="AF550">IFERROR(_xlfn.BYROW(TRACK_TYPES[[#This Row],[TRACK_TYPE_NARROW_GAUGE_RAILTYPE_OHLE]:[TRACK_TYPE_NARROW_GAUGE_RAILTYPE_NONE]],_xlfn.LAMBDA(_xlpm.r,OR(_xlpm.r))),FALSE)</f>
        <v>0</v>
      </c>
      <c r="AG550" s="43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3263</v>
      </c>
      <c r="B551" s="45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43" t="b" cm="1">
        <f t="array" ref="AE551">IFERROR(_xlfn.BYROW(TRACK_TYPES[[#This Row],[TRACK_TYPE_STANDARD_GAUGE_RAILTYPE_OHLE]:[TRACK_TYPE_STANDARD_GAUGE_RAILTYPE_NONE]],_xlfn.LAMBDA(_xlpm.r,OR(_xlpm.r))),FALSE)</f>
        <v>1</v>
      </c>
      <c r="AF551" s="43" t="b" cm="1">
        <f t="array" ref="AF551">IFERROR(_xlfn.BYROW(TRACK_TYPES[[#This Row],[TRACK_TYPE_NARROW_GAUGE_RAILTYPE_OHLE]:[TRACK_TYPE_NARROW_GAUGE_RAILTYPE_NONE]],_xlfn.LAMBDA(_xlpm.r,OR(_xlpm.r))),FALSE)</f>
        <v>0</v>
      </c>
      <c r="AG551" s="43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3264</v>
      </c>
      <c r="B552" s="45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43" t="b" cm="1">
        <f t="array" ref="AE552">IFERROR(_xlfn.BYROW(TRACK_TYPES[[#This Row],[TRACK_TYPE_STANDARD_GAUGE_RAILTYPE_OHLE]:[TRACK_TYPE_STANDARD_GAUGE_RAILTYPE_NONE]],_xlfn.LAMBDA(_xlpm.r,OR(_xlpm.r))),FALSE)</f>
        <v>1</v>
      </c>
      <c r="AF552" s="43" t="b" cm="1">
        <f t="array" ref="AF552">IFERROR(_xlfn.BYROW(TRACK_TYPES[[#This Row],[TRACK_TYPE_NARROW_GAUGE_RAILTYPE_OHLE]:[TRACK_TYPE_NARROW_GAUGE_RAILTYPE_NONE]],_xlfn.LAMBDA(_xlpm.r,OR(_xlpm.r))),FALSE)</f>
        <v>0</v>
      </c>
      <c r="AG552" s="43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3265</v>
      </c>
      <c r="B553" s="45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43" t="b" cm="1">
        <f t="array" ref="AE553">IFERROR(_xlfn.BYROW(TRACK_TYPES[[#This Row],[TRACK_TYPE_STANDARD_GAUGE_RAILTYPE_OHLE]:[TRACK_TYPE_STANDARD_GAUGE_RAILTYPE_NONE]],_xlfn.LAMBDA(_xlpm.r,OR(_xlpm.r))),FALSE)</f>
        <v>1</v>
      </c>
      <c r="AF553" s="43" t="b" cm="1">
        <f t="array" ref="AF553">IFERROR(_xlfn.BYROW(TRACK_TYPES[[#This Row],[TRACK_TYPE_NARROW_GAUGE_RAILTYPE_OHLE]:[TRACK_TYPE_NARROW_GAUGE_RAILTYPE_NONE]],_xlfn.LAMBDA(_xlpm.r,OR(_xlpm.r))),FALSE)</f>
        <v>0</v>
      </c>
      <c r="AG553" s="43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3266</v>
      </c>
      <c r="B554" s="45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43" t="b" cm="1">
        <f t="array" ref="AE554">IFERROR(_xlfn.BYROW(TRACK_TYPES[[#This Row],[TRACK_TYPE_STANDARD_GAUGE_RAILTYPE_OHLE]:[TRACK_TYPE_STANDARD_GAUGE_RAILTYPE_NONE]],_xlfn.LAMBDA(_xlpm.r,OR(_xlpm.r))),FALSE)</f>
        <v>1</v>
      </c>
      <c r="AF554" s="43" t="b" cm="1">
        <f t="array" ref="AF554">IFERROR(_xlfn.BYROW(TRACK_TYPES[[#This Row],[TRACK_TYPE_NARROW_GAUGE_RAILTYPE_OHLE]:[TRACK_TYPE_NARROW_GAUGE_RAILTYPE_NONE]],_xlfn.LAMBDA(_xlpm.r,OR(_xlpm.r))),FALSE)</f>
        <v>0</v>
      </c>
      <c r="AG554" s="43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3267</v>
      </c>
      <c r="B555" s="45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43" t="b" cm="1">
        <f t="array" ref="AE555">IFERROR(_xlfn.BYROW(TRACK_TYPES[[#This Row],[TRACK_TYPE_STANDARD_GAUGE_RAILTYPE_OHLE]:[TRACK_TYPE_STANDARD_GAUGE_RAILTYPE_NONE]],_xlfn.LAMBDA(_xlpm.r,OR(_xlpm.r))),FALSE)</f>
        <v>1</v>
      </c>
      <c r="AF555" s="43" t="b" cm="1">
        <f t="array" ref="AF555">IFERROR(_xlfn.BYROW(TRACK_TYPES[[#This Row],[TRACK_TYPE_NARROW_GAUGE_RAILTYPE_OHLE]:[TRACK_TYPE_NARROW_GAUGE_RAILTYPE_NONE]],_xlfn.LAMBDA(_xlpm.r,OR(_xlpm.r))),FALSE)</f>
        <v>0</v>
      </c>
      <c r="AG555" s="43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3268</v>
      </c>
      <c r="B556" s="45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43" t="b" cm="1">
        <f t="array" ref="AE556">IFERROR(_xlfn.BYROW(TRACK_TYPES[[#This Row],[TRACK_TYPE_STANDARD_GAUGE_RAILTYPE_OHLE]:[TRACK_TYPE_STANDARD_GAUGE_RAILTYPE_NONE]],_xlfn.LAMBDA(_xlpm.r,OR(_xlpm.r))),FALSE)</f>
        <v>1</v>
      </c>
      <c r="AF556" s="43" t="b" cm="1">
        <f t="array" ref="AF556">IFERROR(_xlfn.BYROW(TRACK_TYPES[[#This Row],[TRACK_TYPE_NARROW_GAUGE_RAILTYPE_OHLE]:[TRACK_TYPE_NARROW_GAUGE_RAILTYPE_NONE]],_xlfn.LAMBDA(_xlpm.r,OR(_xlpm.r))),FALSE)</f>
        <v>0</v>
      </c>
      <c r="AG556" s="43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3269</v>
      </c>
      <c r="B557" s="45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43" t="b" cm="1">
        <f t="array" ref="AE557">IFERROR(_xlfn.BYROW(TRACK_TYPES[[#This Row],[TRACK_TYPE_STANDARD_GAUGE_RAILTYPE_OHLE]:[TRACK_TYPE_STANDARD_GAUGE_RAILTYPE_NONE]],_xlfn.LAMBDA(_xlpm.r,OR(_xlpm.r))),FALSE)</f>
        <v>1</v>
      </c>
      <c r="AF557" s="43" t="b" cm="1">
        <f t="array" ref="AF557">IFERROR(_xlfn.BYROW(TRACK_TYPES[[#This Row],[TRACK_TYPE_NARROW_GAUGE_RAILTYPE_OHLE]:[TRACK_TYPE_NARROW_GAUGE_RAILTYPE_NONE]],_xlfn.LAMBDA(_xlpm.r,OR(_xlpm.r))),FALSE)</f>
        <v>0</v>
      </c>
      <c r="AG557" s="43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3270</v>
      </c>
      <c r="B558" s="45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43" t="b" cm="1">
        <f t="array" ref="AE558">IFERROR(_xlfn.BYROW(TRACK_TYPES[[#This Row],[TRACK_TYPE_STANDARD_GAUGE_RAILTYPE_OHLE]:[TRACK_TYPE_STANDARD_GAUGE_RAILTYPE_NONE]],_xlfn.LAMBDA(_xlpm.r,OR(_xlpm.r))),FALSE)</f>
        <v>1</v>
      </c>
      <c r="AF558" s="43" t="b" cm="1">
        <f t="array" ref="AF558">IFERROR(_xlfn.BYROW(TRACK_TYPES[[#This Row],[TRACK_TYPE_NARROW_GAUGE_RAILTYPE_OHLE]:[TRACK_TYPE_NARROW_GAUGE_RAILTYPE_NONE]],_xlfn.LAMBDA(_xlpm.r,OR(_xlpm.r))),FALSE)</f>
        <v>0</v>
      </c>
      <c r="AG558" s="43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3271</v>
      </c>
      <c r="B559" s="45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43" t="b" cm="1">
        <f t="array" ref="AE559">IFERROR(_xlfn.BYROW(TRACK_TYPES[[#This Row],[TRACK_TYPE_STANDARD_GAUGE_RAILTYPE_OHLE]:[TRACK_TYPE_STANDARD_GAUGE_RAILTYPE_NONE]],_xlfn.LAMBDA(_xlpm.r,OR(_xlpm.r))),FALSE)</f>
        <v>1</v>
      </c>
      <c r="AF559" s="43" t="b" cm="1">
        <f t="array" ref="AF559">IFERROR(_xlfn.BYROW(TRACK_TYPES[[#This Row],[TRACK_TYPE_NARROW_GAUGE_RAILTYPE_OHLE]:[TRACK_TYPE_NARROW_GAUGE_RAILTYPE_NONE]],_xlfn.LAMBDA(_xlpm.r,OR(_xlpm.r))),FALSE)</f>
        <v>0</v>
      </c>
      <c r="AG559" s="43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3272</v>
      </c>
      <c r="B560" s="45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43" t="b" cm="1">
        <f t="array" ref="AE560">IFERROR(_xlfn.BYROW(TRACK_TYPES[[#This Row],[TRACK_TYPE_STANDARD_GAUGE_RAILTYPE_OHLE]:[TRACK_TYPE_STANDARD_GAUGE_RAILTYPE_NONE]],_xlfn.LAMBDA(_xlpm.r,OR(_xlpm.r))),FALSE)</f>
        <v>1</v>
      </c>
      <c r="AF560" s="43" t="b" cm="1">
        <f t="array" ref="AF560">IFERROR(_xlfn.BYROW(TRACK_TYPES[[#This Row],[TRACK_TYPE_NARROW_GAUGE_RAILTYPE_OHLE]:[TRACK_TYPE_NARROW_GAUGE_RAILTYPE_NONE]],_xlfn.LAMBDA(_xlpm.r,OR(_xlpm.r))),FALSE)</f>
        <v>0</v>
      </c>
      <c r="AG560" s="43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3273</v>
      </c>
      <c r="B561" s="45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43" t="b" cm="1">
        <f t="array" ref="AE561">IFERROR(_xlfn.BYROW(TRACK_TYPES[[#This Row],[TRACK_TYPE_STANDARD_GAUGE_RAILTYPE_OHLE]:[TRACK_TYPE_STANDARD_GAUGE_RAILTYPE_NONE]],_xlfn.LAMBDA(_xlpm.r,OR(_xlpm.r))),FALSE)</f>
        <v>1</v>
      </c>
      <c r="AF561" s="43" t="b" cm="1">
        <f t="array" ref="AF561">IFERROR(_xlfn.BYROW(TRACK_TYPES[[#This Row],[TRACK_TYPE_NARROW_GAUGE_RAILTYPE_OHLE]:[TRACK_TYPE_NARROW_GAUGE_RAILTYPE_NONE]],_xlfn.LAMBDA(_xlpm.r,OR(_xlpm.r))),FALSE)</f>
        <v>0</v>
      </c>
      <c r="AG561" s="43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3274</v>
      </c>
      <c r="B562" s="45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43" t="b" cm="1">
        <f t="array" ref="AE562">IFERROR(_xlfn.BYROW(TRACK_TYPES[[#This Row],[TRACK_TYPE_STANDARD_GAUGE_RAILTYPE_OHLE]:[TRACK_TYPE_STANDARD_GAUGE_RAILTYPE_NONE]],_xlfn.LAMBDA(_xlpm.r,OR(_xlpm.r))),FALSE)</f>
        <v>1</v>
      </c>
      <c r="AF562" s="43" t="b" cm="1">
        <f t="array" ref="AF562">IFERROR(_xlfn.BYROW(TRACK_TYPES[[#This Row],[TRACK_TYPE_NARROW_GAUGE_RAILTYPE_OHLE]:[TRACK_TYPE_NARROW_GAUGE_RAILTYPE_NONE]],_xlfn.LAMBDA(_xlpm.r,OR(_xlpm.r))),FALSE)</f>
        <v>0</v>
      </c>
      <c r="AG562" s="43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3275</v>
      </c>
      <c r="B563" s="45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43" t="b" cm="1">
        <f t="array" ref="AE563">IFERROR(_xlfn.BYROW(TRACK_TYPES[[#This Row],[TRACK_TYPE_STANDARD_GAUGE_RAILTYPE_OHLE]:[TRACK_TYPE_STANDARD_GAUGE_RAILTYPE_NONE]],_xlfn.LAMBDA(_xlpm.r,OR(_xlpm.r))),FALSE)</f>
        <v>1</v>
      </c>
      <c r="AF563" s="43" t="b" cm="1">
        <f t="array" ref="AF563">IFERROR(_xlfn.BYROW(TRACK_TYPES[[#This Row],[TRACK_TYPE_NARROW_GAUGE_RAILTYPE_OHLE]:[TRACK_TYPE_NARROW_GAUGE_RAILTYPE_NONE]],_xlfn.LAMBDA(_xlpm.r,OR(_xlpm.r))),FALSE)</f>
        <v>0</v>
      </c>
      <c r="AG563" s="43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3276</v>
      </c>
      <c r="B564" s="45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43" t="b" cm="1">
        <f t="array" ref="AE564">IFERROR(_xlfn.BYROW(TRACK_TYPES[[#This Row],[TRACK_TYPE_STANDARD_GAUGE_RAILTYPE_OHLE]:[TRACK_TYPE_STANDARD_GAUGE_RAILTYPE_NONE]],_xlfn.LAMBDA(_xlpm.r,OR(_xlpm.r))),FALSE)</f>
        <v>1</v>
      </c>
      <c r="AF564" s="43" t="b" cm="1">
        <f t="array" ref="AF564">IFERROR(_xlfn.BYROW(TRACK_TYPES[[#This Row],[TRACK_TYPE_NARROW_GAUGE_RAILTYPE_OHLE]:[TRACK_TYPE_NARROW_GAUGE_RAILTYPE_NONE]],_xlfn.LAMBDA(_xlpm.r,OR(_xlpm.r))),FALSE)</f>
        <v>0</v>
      </c>
      <c r="AG564" s="43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3277</v>
      </c>
      <c r="B565" s="45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43" t="b" cm="1">
        <f t="array" ref="AE565">IFERROR(_xlfn.BYROW(TRACK_TYPES[[#This Row],[TRACK_TYPE_STANDARD_GAUGE_RAILTYPE_OHLE]:[TRACK_TYPE_STANDARD_GAUGE_RAILTYPE_NONE]],_xlfn.LAMBDA(_xlpm.r,OR(_xlpm.r))),FALSE)</f>
        <v>1</v>
      </c>
      <c r="AF565" s="43" t="b" cm="1">
        <f t="array" ref="AF565">IFERROR(_xlfn.BYROW(TRACK_TYPES[[#This Row],[TRACK_TYPE_NARROW_GAUGE_RAILTYPE_OHLE]:[TRACK_TYPE_NARROW_GAUGE_RAILTYPE_NONE]],_xlfn.LAMBDA(_xlpm.r,OR(_xlpm.r))),FALSE)</f>
        <v>0</v>
      </c>
      <c r="AG565" s="43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3278</v>
      </c>
      <c r="B566" s="45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43" t="b" cm="1">
        <f t="array" ref="AE566">IFERROR(_xlfn.BYROW(TRACK_TYPES[[#This Row],[TRACK_TYPE_STANDARD_GAUGE_RAILTYPE_OHLE]:[TRACK_TYPE_STANDARD_GAUGE_RAILTYPE_NONE]],_xlfn.LAMBDA(_xlpm.r,OR(_xlpm.r))),FALSE)</f>
        <v>1</v>
      </c>
      <c r="AF566" s="43" t="b" cm="1">
        <f t="array" ref="AF566">IFERROR(_xlfn.BYROW(TRACK_TYPES[[#This Row],[TRACK_TYPE_NARROW_GAUGE_RAILTYPE_OHLE]:[TRACK_TYPE_NARROW_GAUGE_RAILTYPE_NONE]],_xlfn.LAMBDA(_xlpm.r,OR(_xlpm.r))),FALSE)</f>
        <v>0</v>
      </c>
      <c r="AG566" s="43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3279</v>
      </c>
      <c r="B567" s="45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43" t="b" cm="1">
        <f t="array" ref="AE567">IFERROR(_xlfn.BYROW(TRACK_TYPES[[#This Row],[TRACK_TYPE_STANDARD_GAUGE_RAILTYPE_OHLE]:[TRACK_TYPE_STANDARD_GAUGE_RAILTYPE_NONE]],_xlfn.LAMBDA(_xlpm.r,OR(_xlpm.r))),FALSE)</f>
        <v>1</v>
      </c>
      <c r="AF567" s="43" t="b" cm="1">
        <f t="array" ref="AF567">IFERROR(_xlfn.BYROW(TRACK_TYPES[[#This Row],[TRACK_TYPE_NARROW_GAUGE_RAILTYPE_OHLE]:[TRACK_TYPE_NARROW_GAUGE_RAILTYPE_NONE]],_xlfn.LAMBDA(_xlpm.r,OR(_xlpm.r))),FALSE)</f>
        <v>0</v>
      </c>
      <c r="AG567" s="43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3280</v>
      </c>
      <c r="B568" s="45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43" t="b" cm="1">
        <f t="array" ref="AE568">IFERROR(_xlfn.BYROW(TRACK_TYPES[[#This Row],[TRACK_TYPE_STANDARD_GAUGE_RAILTYPE_OHLE]:[TRACK_TYPE_STANDARD_GAUGE_RAILTYPE_NONE]],_xlfn.LAMBDA(_xlpm.r,OR(_xlpm.r))),FALSE)</f>
        <v>0</v>
      </c>
      <c r="AF568" s="43" t="b" cm="1">
        <f t="array" ref="AF568">IFERROR(_xlfn.BYROW(TRACK_TYPES[[#This Row],[TRACK_TYPE_NARROW_GAUGE_RAILTYPE_OHLE]:[TRACK_TYPE_NARROW_GAUGE_RAILTYPE_NONE]],_xlfn.LAMBDA(_xlpm.r,OR(_xlpm.r))),FALSE)</f>
        <v>0</v>
      </c>
      <c r="AG568" s="43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3281</v>
      </c>
      <c r="B569" s="45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43" t="b" cm="1">
        <f t="array" ref="AE569">IFERROR(_xlfn.BYROW(TRACK_TYPES[[#This Row],[TRACK_TYPE_STANDARD_GAUGE_RAILTYPE_OHLE]:[TRACK_TYPE_STANDARD_GAUGE_RAILTYPE_NONE]],_xlfn.LAMBDA(_xlpm.r,OR(_xlpm.r))),FALSE)</f>
        <v>0</v>
      </c>
      <c r="AF569" s="43" t="b" cm="1">
        <f t="array" ref="AF569">IFERROR(_xlfn.BYROW(TRACK_TYPES[[#This Row],[TRACK_TYPE_NARROW_GAUGE_RAILTYPE_OHLE]:[TRACK_TYPE_NARROW_GAUGE_RAILTYPE_NONE]],_xlfn.LAMBDA(_xlpm.r,OR(_xlpm.r))),FALSE)</f>
        <v>0</v>
      </c>
      <c r="AG569" s="43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3282</v>
      </c>
      <c r="B570" s="45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43" t="b" cm="1">
        <f t="array" ref="AE570">IFERROR(_xlfn.BYROW(TRACK_TYPES[[#This Row],[TRACK_TYPE_STANDARD_GAUGE_RAILTYPE_OHLE]:[TRACK_TYPE_STANDARD_GAUGE_RAILTYPE_NONE]],_xlfn.LAMBDA(_xlpm.r,OR(_xlpm.r))),FALSE)</f>
        <v>0</v>
      </c>
      <c r="AF570" s="43" t="b" cm="1">
        <f t="array" ref="AF570">IFERROR(_xlfn.BYROW(TRACK_TYPES[[#This Row],[TRACK_TYPE_NARROW_GAUGE_RAILTYPE_OHLE]:[TRACK_TYPE_NARROW_GAUGE_RAILTYPE_NONE]],_xlfn.LAMBDA(_xlpm.r,OR(_xlpm.r))),FALSE)</f>
        <v>0</v>
      </c>
      <c r="AG570" s="43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3283</v>
      </c>
      <c r="B571" s="45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43" t="b" cm="1">
        <f t="array" ref="AE571">IFERROR(_xlfn.BYROW(TRACK_TYPES[[#This Row],[TRACK_TYPE_STANDARD_GAUGE_RAILTYPE_OHLE]:[TRACK_TYPE_STANDARD_GAUGE_RAILTYPE_NONE]],_xlfn.LAMBDA(_xlpm.r,OR(_xlpm.r))),FALSE)</f>
        <v>0</v>
      </c>
      <c r="AF571" s="43" t="b" cm="1">
        <f t="array" ref="AF571">IFERROR(_xlfn.BYROW(TRACK_TYPES[[#This Row],[TRACK_TYPE_NARROW_GAUGE_RAILTYPE_OHLE]:[TRACK_TYPE_NARROW_GAUGE_RAILTYPE_NONE]],_xlfn.LAMBDA(_xlpm.r,OR(_xlpm.r))),FALSE)</f>
        <v>0</v>
      </c>
      <c r="AG571" s="43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236</v>
      </c>
      <c r="B572" s="45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43" t="b" cm="1">
        <f t="array" ref="AE572">IFERROR(_xlfn.BYROW(TRACK_TYPES[[#This Row],[TRACK_TYPE_STANDARD_GAUGE_RAILTYPE_OHLE]:[TRACK_TYPE_STANDARD_GAUGE_RAILTYPE_NONE]],_xlfn.LAMBDA(_xlpm.r,OR(_xlpm.r))),FALSE)</f>
        <v>0</v>
      </c>
      <c r="AF572" s="43" t="b" cm="1">
        <f t="array" ref="AF572">IFERROR(_xlfn.BYROW(TRACK_TYPES[[#This Row],[TRACK_TYPE_NARROW_GAUGE_RAILTYPE_OHLE]:[TRACK_TYPE_NARROW_GAUGE_RAILTYPE_NONE]],_xlfn.LAMBDA(_xlpm.r,OR(_xlpm.r))),FALSE)</f>
        <v>0</v>
      </c>
      <c r="AG572" s="43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220</v>
      </c>
      <c r="B573" s="45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43" t="b" cm="1">
        <f t="array" ref="AE573">IFERROR(_xlfn.BYROW(TRACK_TYPES[[#This Row],[TRACK_TYPE_STANDARD_GAUGE_RAILTYPE_OHLE]:[TRACK_TYPE_STANDARD_GAUGE_RAILTYPE_NONE]],_xlfn.LAMBDA(_xlpm.r,OR(_xlpm.r))),FALSE)</f>
        <v>0</v>
      </c>
      <c r="AF573" s="43" t="b" cm="1">
        <f t="array" ref="AF573">IFERROR(_xlfn.BYROW(TRACK_TYPES[[#This Row],[TRACK_TYPE_NARROW_GAUGE_RAILTYPE_OHLE]:[TRACK_TYPE_NARROW_GAUGE_RAILTYPE_NONE]],_xlfn.LAMBDA(_xlpm.r,OR(_xlpm.r))),FALSE)</f>
        <v>0</v>
      </c>
      <c r="AG573" s="43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221</v>
      </c>
      <c r="B574" s="45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43" t="b" cm="1">
        <f t="array" ref="AE574">IFERROR(_xlfn.BYROW(TRACK_TYPES[[#This Row],[TRACK_TYPE_STANDARD_GAUGE_RAILTYPE_OHLE]:[TRACK_TYPE_STANDARD_GAUGE_RAILTYPE_NONE]],_xlfn.LAMBDA(_xlpm.r,OR(_xlpm.r))),FALSE)</f>
        <v>0</v>
      </c>
      <c r="AF574" s="43" t="b" cm="1">
        <f t="array" ref="AF574">IFERROR(_xlfn.BYROW(TRACK_TYPES[[#This Row],[TRACK_TYPE_NARROW_GAUGE_RAILTYPE_OHLE]:[TRACK_TYPE_NARROW_GAUGE_RAILTYPE_NONE]],_xlfn.LAMBDA(_xlpm.r,OR(_xlpm.r))),FALSE)</f>
        <v>0</v>
      </c>
      <c r="AG574" s="43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222</v>
      </c>
      <c r="B575" s="45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43" t="b" cm="1">
        <f t="array" ref="AE575">IFERROR(_xlfn.BYROW(TRACK_TYPES[[#This Row],[TRACK_TYPE_STANDARD_GAUGE_RAILTYPE_OHLE]:[TRACK_TYPE_STANDARD_GAUGE_RAILTYPE_NONE]],_xlfn.LAMBDA(_xlpm.r,OR(_xlpm.r))),FALSE)</f>
        <v>0</v>
      </c>
      <c r="AF575" s="43" t="b" cm="1">
        <f t="array" ref="AF575">IFERROR(_xlfn.BYROW(TRACK_TYPES[[#This Row],[TRACK_TYPE_NARROW_GAUGE_RAILTYPE_OHLE]:[TRACK_TYPE_NARROW_GAUGE_RAILTYPE_NONE]],_xlfn.LAMBDA(_xlpm.r,OR(_xlpm.r))),FALSE)</f>
        <v>0</v>
      </c>
      <c r="AG575" s="43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223</v>
      </c>
      <c r="B576" s="45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43" t="b" cm="1">
        <f t="array" ref="AE576">IFERROR(_xlfn.BYROW(TRACK_TYPES[[#This Row],[TRACK_TYPE_STANDARD_GAUGE_RAILTYPE_OHLE]:[TRACK_TYPE_STANDARD_GAUGE_RAILTYPE_NONE]],_xlfn.LAMBDA(_xlpm.r,OR(_xlpm.r))),FALSE)</f>
        <v>0</v>
      </c>
      <c r="AF576" s="43" t="b" cm="1">
        <f t="array" ref="AF576">IFERROR(_xlfn.BYROW(TRACK_TYPES[[#This Row],[TRACK_TYPE_NARROW_GAUGE_RAILTYPE_OHLE]:[TRACK_TYPE_NARROW_GAUGE_RAILTYPE_NONE]],_xlfn.LAMBDA(_xlpm.r,OR(_xlpm.r))),FALSE)</f>
        <v>0</v>
      </c>
      <c r="AG576" s="43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224</v>
      </c>
      <c r="B577" s="45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43" t="b" cm="1">
        <f t="array" ref="AE577">IFERROR(_xlfn.BYROW(TRACK_TYPES[[#This Row],[TRACK_TYPE_STANDARD_GAUGE_RAILTYPE_OHLE]:[TRACK_TYPE_STANDARD_GAUGE_RAILTYPE_NONE]],_xlfn.LAMBDA(_xlpm.r,OR(_xlpm.r))),FALSE)</f>
        <v>0</v>
      </c>
      <c r="AF577" s="43" t="b" cm="1">
        <f t="array" ref="AF577">IFERROR(_xlfn.BYROW(TRACK_TYPES[[#This Row],[TRACK_TYPE_NARROW_GAUGE_RAILTYPE_OHLE]:[TRACK_TYPE_NARROW_GAUGE_RAILTYPE_NONE]],_xlfn.LAMBDA(_xlpm.r,OR(_xlpm.r))),FALSE)</f>
        <v>0</v>
      </c>
      <c r="AG577" s="43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225</v>
      </c>
      <c r="B578" s="45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43" t="b" cm="1">
        <f t="array" ref="AE578">IFERROR(_xlfn.BYROW(TRACK_TYPES[[#This Row],[TRACK_TYPE_STANDARD_GAUGE_RAILTYPE_OHLE]:[TRACK_TYPE_STANDARD_GAUGE_RAILTYPE_NONE]],_xlfn.LAMBDA(_xlpm.r,OR(_xlpm.r))),FALSE)</f>
        <v>0</v>
      </c>
      <c r="AF578" s="43" t="b" cm="1">
        <f t="array" ref="AF578">IFERROR(_xlfn.BYROW(TRACK_TYPES[[#This Row],[TRACK_TYPE_NARROW_GAUGE_RAILTYPE_OHLE]:[TRACK_TYPE_NARROW_GAUGE_RAILTYPE_NONE]],_xlfn.LAMBDA(_xlpm.r,OR(_xlpm.r))),FALSE)</f>
        <v>0</v>
      </c>
      <c r="AG578" s="43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226</v>
      </c>
      <c r="B579" s="45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43" t="b" cm="1">
        <f t="array" ref="AE579">IFERROR(_xlfn.BYROW(TRACK_TYPES[[#This Row],[TRACK_TYPE_STANDARD_GAUGE_RAILTYPE_OHLE]:[TRACK_TYPE_STANDARD_GAUGE_RAILTYPE_NONE]],_xlfn.LAMBDA(_xlpm.r,OR(_xlpm.r))),FALSE)</f>
        <v>0</v>
      </c>
      <c r="AF579" s="43" t="b" cm="1">
        <f t="array" ref="AF579">IFERROR(_xlfn.BYROW(TRACK_TYPES[[#This Row],[TRACK_TYPE_NARROW_GAUGE_RAILTYPE_OHLE]:[TRACK_TYPE_NARROW_GAUGE_RAILTYPE_NONE]],_xlfn.LAMBDA(_xlpm.r,OR(_xlpm.r))),FALSE)</f>
        <v>0</v>
      </c>
      <c r="AG579" s="43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227</v>
      </c>
      <c r="B580" s="45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43" t="b" cm="1">
        <f t="array" ref="AE580">IFERROR(_xlfn.BYROW(TRACK_TYPES[[#This Row],[TRACK_TYPE_STANDARD_GAUGE_RAILTYPE_OHLE]:[TRACK_TYPE_STANDARD_GAUGE_RAILTYPE_NONE]],_xlfn.LAMBDA(_xlpm.r,OR(_xlpm.r))),FALSE)</f>
        <v>0</v>
      </c>
      <c r="AF580" s="43" t="b" cm="1">
        <f t="array" ref="AF580">IFERROR(_xlfn.BYROW(TRACK_TYPES[[#This Row],[TRACK_TYPE_NARROW_GAUGE_RAILTYPE_OHLE]:[TRACK_TYPE_NARROW_GAUGE_RAILTYPE_NONE]],_xlfn.LAMBDA(_xlpm.r,OR(_xlpm.r))),FALSE)</f>
        <v>0</v>
      </c>
      <c r="AG580" s="43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228</v>
      </c>
      <c r="B581" s="45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43" t="b" cm="1">
        <f t="array" ref="AE581">IFERROR(_xlfn.BYROW(TRACK_TYPES[[#This Row],[TRACK_TYPE_STANDARD_GAUGE_RAILTYPE_OHLE]:[TRACK_TYPE_STANDARD_GAUGE_RAILTYPE_NONE]],_xlfn.LAMBDA(_xlpm.r,OR(_xlpm.r))),FALSE)</f>
        <v>0</v>
      </c>
      <c r="AF581" s="43" t="b" cm="1">
        <f t="array" ref="AF581">IFERROR(_xlfn.BYROW(TRACK_TYPES[[#This Row],[TRACK_TYPE_NARROW_GAUGE_RAILTYPE_OHLE]:[TRACK_TYPE_NARROW_GAUGE_RAILTYPE_NONE]],_xlfn.LAMBDA(_xlpm.r,OR(_xlpm.r))),FALSE)</f>
        <v>0</v>
      </c>
      <c r="AG581" s="43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229</v>
      </c>
      <c r="B582" s="45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43" t="b" cm="1">
        <f t="array" ref="AE582">IFERROR(_xlfn.BYROW(TRACK_TYPES[[#This Row],[TRACK_TYPE_STANDARD_GAUGE_RAILTYPE_OHLE]:[TRACK_TYPE_STANDARD_GAUGE_RAILTYPE_NONE]],_xlfn.LAMBDA(_xlpm.r,OR(_xlpm.r))),FALSE)</f>
        <v>0</v>
      </c>
      <c r="AF582" s="43" t="b" cm="1">
        <f t="array" ref="AF582">IFERROR(_xlfn.BYROW(TRACK_TYPES[[#This Row],[TRACK_TYPE_NARROW_GAUGE_RAILTYPE_OHLE]:[TRACK_TYPE_NARROW_GAUGE_RAILTYPE_NONE]],_xlfn.LAMBDA(_xlpm.r,OR(_xlpm.r))),FALSE)</f>
        <v>0</v>
      </c>
      <c r="AG582" s="43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230</v>
      </c>
      <c r="B583" s="45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43" t="b" cm="1">
        <f t="array" ref="AE583">IFERROR(_xlfn.BYROW(TRACK_TYPES[[#This Row],[TRACK_TYPE_STANDARD_GAUGE_RAILTYPE_OHLE]:[TRACK_TYPE_STANDARD_GAUGE_RAILTYPE_NONE]],_xlfn.LAMBDA(_xlpm.r,OR(_xlpm.r))),FALSE)</f>
        <v>0</v>
      </c>
      <c r="AF583" s="43" t="b" cm="1">
        <f t="array" ref="AF583">IFERROR(_xlfn.BYROW(TRACK_TYPES[[#This Row],[TRACK_TYPE_NARROW_GAUGE_RAILTYPE_OHLE]:[TRACK_TYPE_NARROW_GAUGE_RAILTYPE_NONE]],_xlfn.LAMBDA(_xlpm.r,OR(_xlpm.r))),FALSE)</f>
        <v>0</v>
      </c>
      <c r="AG583" s="43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231</v>
      </c>
      <c r="B584" s="45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43" t="b" cm="1">
        <f t="array" ref="AE584">IFERROR(_xlfn.BYROW(TRACK_TYPES[[#This Row],[TRACK_TYPE_STANDARD_GAUGE_RAILTYPE_OHLE]:[TRACK_TYPE_STANDARD_GAUGE_RAILTYPE_NONE]],_xlfn.LAMBDA(_xlpm.r,OR(_xlpm.r))),FALSE)</f>
        <v>0</v>
      </c>
      <c r="AF584" s="43" t="b" cm="1">
        <f t="array" ref="AF584">IFERROR(_xlfn.BYROW(TRACK_TYPES[[#This Row],[TRACK_TYPE_NARROW_GAUGE_RAILTYPE_OHLE]:[TRACK_TYPE_NARROW_GAUGE_RAILTYPE_NONE]],_xlfn.LAMBDA(_xlpm.r,OR(_xlpm.r))),FALSE)</f>
        <v>0</v>
      </c>
      <c r="AG584" s="43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232</v>
      </c>
      <c r="B585" s="45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43" t="b" cm="1">
        <f t="array" ref="AE585">IFERROR(_xlfn.BYROW(TRACK_TYPES[[#This Row],[TRACK_TYPE_STANDARD_GAUGE_RAILTYPE_OHLE]:[TRACK_TYPE_STANDARD_GAUGE_RAILTYPE_NONE]],_xlfn.LAMBDA(_xlpm.r,OR(_xlpm.r))),FALSE)</f>
        <v>0</v>
      </c>
      <c r="AF585" s="43" t="b" cm="1">
        <f t="array" ref="AF585">IFERROR(_xlfn.BYROW(TRACK_TYPES[[#This Row],[TRACK_TYPE_NARROW_GAUGE_RAILTYPE_OHLE]:[TRACK_TYPE_NARROW_GAUGE_RAILTYPE_NONE]],_xlfn.LAMBDA(_xlpm.r,OR(_xlpm.r))),FALSE)</f>
        <v>0</v>
      </c>
      <c r="AG585" s="43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233</v>
      </c>
      <c r="B586" s="45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43" t="b" cm="1">
        <f t="array" ref="AE586">IFERROR(_xlfn.BYROW(TRACK_TYPES[[#This Row],[TRACK_TYPE_STANDARD_GAUGE_RAILTYPE_OHLE]:[TRACK_TYPE_STANDARD_GAUGE_RAILTYPE_NONE]],_xlfn.LAMBDA(_xlpm.r,OR(_xlpm.r))),FALSE)</f>
        <v>0</v>
      </c>
      <c r="AF586" s="43" t="b" cm="1">
        <f t="array" ref="AF586">IFERROR(_xlfn.BYROW(TRACK_TYPES[[#This Row],[TRACK_TYPE_NARROW_GAUGE_RAILTYPE_OHLE]:[TRACK_TYPE_NARROW_GAUGE_RAILTYPE_NONE]],_xlfn.LAMBDA(_xlpm.r,OR(_xlpm.r))),FALSE)</f>
        <v>0</v>
      </c>
      <c r="AG586" s="43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3284</v>
      </c>
      <c r="B587" s="45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43" t="b" cm="1">
        <f t="array" ref="AE587">IFERROR(_xlfn.BYROW(TRACK_TYPES[[#This Row],[TRACK_TYPE_STANDARD_GAUGE_RAILTYPE_OHLE]:[TRACK_TYPE_STANDARD_GAUGE_RAILTYPE_NONE]],_xlfn.LAMBDA(_xlpm.r,OR(_xlpm.r))),FALSE)</f>
        <v>0</v>
      </c>
      <c r="AF587" s="43" t="b" cm="1">
        <f t="array" ref="AF587">IFERROR(_xlfn.BYROW(TRACK_TYPES[[#This Row],[TRACK_TYPE_NARROW_GAUGE_RAILTYPE_OHLE]:[TRACK_TYPE_NARROW_GAUGE_RAILTYPE_NONE]],_xlfn.LAMBDA(_xlpm.r,OR(_xlpm.r))),FALSE)</f>
        <v>1</v>
      </c>
      <c r="AG587" s="43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3285</v>
      </c>
      <c r="B588" s="45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43" t="b" cm="1">
        <f t="array" ref="AE588">IFERROR(_xlfn.BYROW(TRACK_TYPES[[#This Row],[TRACK_TYPE_STANDARD_GAUGE_RAILTYPE_OHLE]:[TRACK_TYPE_STANDARD_GAUGE_RAILTYPE_NONE]],_xlfn.LAMBDA(_xlpm.r,OR(_xlpm.r))),FALSE)</f>
        <v>0</v>
      </c>
      <c r="AF588" s="43" t="b" cm="1">
        <f t="array" ref="AF588">IFERROR(_xlfn.BYROW(TRACK_TYPES[[#This Row],[TRACK_TYPE_NARROW_GAUGE_RAILTYPE_OHLE]:[TRACK_TYPE_NARROW_GAUGE_RAILTYPE_NONE]],_xlfn.LAMBDA(_xlpm.r,OR(_xlpm.r))),FALSE)</f>
        <v>1</v>
      </c>
      <c r="AG588" s="43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3286</v>
      </c>
      <c r="B589" s="45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43" t="b" cm="1">
        <f t="array" ref="AE589">IFERROR(_xlfn.BYROW(TRACK_TYPES[[#This Row],[TRACK_TYPE_STANDARD_GAUGE_RAILTYPE_OHLE]:[TRACK_TYPE_STANDARD_GAUGE_RAILTYPE_NONE]],_xlfn.LAMBDA(_xlpm.r,OR(_xlpm.r))),FALSE)</f>
        <v>0</v>
      </c>
      <c r="AF589" s="43" t="b" cm="1">
        <f t="array" ref="AF589">IFERROR(_xlfn.BYROW(TRACK_TYPES[[#This Row],[TRACK_TYPE_NARROW_GAUGE_RAILTYPE_OHLE]:[TRACK_TYPE_NARROW_GAUGE_RAILTYPE_NONE]],_xlfn.LAMBDA(_xlpm.r,OR(_xlpm.r))),FALSE)</f>
        <v>1</v>
      </c>
      <c r="AG589" s="43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3287</v>
      </c>
      <c r="B590" s="45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43" t="b" cm="1">
        <f t="array" ref="AE590">IFERROR(_xlfn.BYROW(TRACK_TYPES[[#This Row],[TRACK_TYPE_STANDARD_GAUGE_RAILTYPE_OHLE]:[TRACK_TYPE_STANDARD_GAUGE_RAILTYPE_NONE]],_xlfn.LAMBDA(_xlpm.r,OR(_xlpm.r))),FALSE)</f>
        <v>0</v>
      </c>
      <c r="AF590" s="43" t="b" cm="1">
        <f t="array" ref="AF590">IFERROR(_xlfn.BYROW(TRACK_TYPES[[#This Row],[TRACK_TYPE_NARROW_GAUGE_RAILTYPE_OHLE]:[TRACK_TYPE_NARROW_GAUGE_RAILTYPE_NONE]],_xlfn.LAMBDA(_xlpm.r,OR(_xlpm.r))),FALSE)</f>
        <v>1</v>
      </c>
      <c r="AG590" s="43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3288</v>
      </c>
      <c r="B591" s="45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43" t="b" cm="1">
        <f t="array" ref="AE591">IFERROR(_xlfn.BYROW(TRACK_TYPES[[#This Row],[TRACK_TYPE_STANDARD_GAUGE_RAILTYPE_OHLE]:[TRACK_TYPE_STANDARD_GAUGE_RAILTYPE_NONE]],_xlfn.LAMBDA(_xlpm.r,OR(_xlpm.r))),FALSE)</f>
        <v>0</v>
      </c>
      <c r="AF591" s="43" t="b" cm="1">
        <f t="array" ref="AF591">IFERROR(_xlfn.BYROW(TRACK_TYPES[[#This Row],[TRACK_TYPE_NARROW_GAUGE_RAILTYPE_OHLE]:[TRACK_TYPE_NARROW_GAUGE_RAILTYPE_NONE]],_xlfn.LAMBDA(_xlpm.r,OR(_xlpm.r))),FALSE)</f>
        <v>1</v>
      </c>
      <c r="AG591" s="43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3289</v>
      </c>
      <c r="B592" s="45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43" t="b" cm="1">
        <f t="array" ref="AE592">IFERROR(_xlfn.BYROW(TRACK_TYPES[[#This Row],[TRACK_TYPE_STANDARD_GAUGE_RAILTYPE_OHLE]:[TRACK_TYPE_STANDARD_GAUGE_RAILTYPE_NONE]],_xlfn.LAMBDA(_xlpm.r,OR(_xlpm.r))),FALSE)</f>
        <v>0</v>
      </c>
      <c r="AF592" s="43" t="b" cm="1">
        <f t="array" ref="AF592">IFERROR(_xlfn.BYROW(TRACK_TYPES[[#This Row],[TRACK_TYPE_NARROW_GAUGE_RAILTYPE_OHLE]:[TRACK_TYPE_NARROW_GAUGE_RAILTYPE_NONE]],_xlfn.LAMBDA(_xlpm.r,OR(_xlpm.r))),FALSE)</f>
        <v>1</v>
      </c>
      <c r="AG592" s="43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3290</v>
      </c>
      <c r="B593" s="45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43" t="b" cm="1">
        <f t="array" ref="AE593">IFERROR(_xlfn.BYROW(TRACK_TYPES[[#This Row],[TRACK_TYPE_STANDARD_GAUGE_RAILTYPE_OHLE]:[TRACK_TYPE_STANDARD_GAUGE_RAILTYPE_NONE]],_xlfn.LAMBDA(_xlpm.r,OR(_xlpm.r))),FALSE)</f>
        <v>0</v>
      </c>
      <c r="AF593" s="43" t="b" cm="1">
        <f t="array" ref="AF593">IFERROR(_xlfn.BYROW(TRACK_TYPES[[#This Row],[TRACK_TYPE_NARROW_GAUGE_RAILTYPE_OHLE]:[TRACK_TYPE_NARROW_GAUGE_RAILTYPE_NONE]],_xlfn.LAMBDA(_xlpm.r,OR(_xlpm.r))),FALSE)</f>
        <v>1</v>
      </c>
      <c r="AG593" s="43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3291</v>
      </c>
      <c r="B594" s="45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43" t="b" cm="1">
        <f t="array" ref="AE594">IFERROR(_xlfn.BYROW(TRACK_TYPES[[#This Row],[TRACK_TYPE_STANDARD_GAUGE_RAILTYPE_OHLE]:[TRACK_TYPE_STANDARD_GAUGE_RAILTYPE_NONE]],_xlfn.LAMBDA(_xlpm.r,OR(_xlpm.r))),FALSE)</f>
        <v>0</v>
      </c>
      <c r="AF594" s="43" t="b" cm="1">
        <f t="array" ref="AF594">IFERROR(_xlfn.BYROW(TRACK_TYPES[[#This Row],[TRACK_TYPE_NARROW_GAUGE_RAILTYPE_OHLE]:[TRACK_TYPE_NARROW_GAUGE_RAILTYPE_NONE]],_xlfn.LAMBDA(_xlpm.r,OR(_xlpm.r))),FALSE)</f>
        <v>1</v>
      </c>
      <c r="AG594" s="43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3292</v>
      </c>
      <c r="B595" s="45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43" t="b" cm="1">
        <f t="array" ref="AE595">IFERROR(_xlfn.BYROW(TRACK_TYPES[[#This Row],[TRACK_TYPE_STANDARD_GAUGE_RAILTYPE_OHLE]:[TRACK_TYPE_STANDARD_GAUGE_RAILTYPE_NONE]],_xlfn.LAMBDA(_xlpm.r,OR(_xlpm.r))),FALSE)</f>
        <v>0</v>
      </c>
      <c r="AF595" s="43" t="b" cm="1">
        <f t="array" ref="AF595">IFERROR(_xlfn.BYROW(TRACK_TYPES[[#This Row],[TRACK_TYPE_NARROW_GAUGE_RAILTYPE_OHLE]:[TRACK_TYPE_NARROW_GAUGE_RAILTYPE_NONE]],_xlfn.LAMBDA(_xlpm.r,OR(_xlpm.r))),FALSE)</f>
        <v>1</v>
      </c>
      <c r="AG595" s="43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3293</v>
      </c>
      <c r="B596" s="45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43" t="b" cm="1">
        <f t="array" ref="AE596">IFERROR(_xlfn.BYROW(TRACK_TYPES[[#This Row],[TRACK_TYPE_STANDARD_GAUGE_RAILTYPE_OHLE]:[TRACK_TYPE_STANDARD_GAUGE_RAILTYPE_NONE]],_xlfn.LAMBDA(_xlpm.r,OR(_xlpm.r))),FALSE)</f>
        <v>0</v>
      </c>
      <c r="AF596" s="43" t="b" cm="1">
        <f t="array" ref="AF596">IFERROR(_xlfn.BYROW(TRACK_TYPES[[#This Row],[TRACK_TYPE_NARROW_GAUGE_RAILTYPE_OHLE]:[TRACK_TYPE_NARROW_GAUGE_RAILTYPE_NONE]],_xlfn.LAMBDA(_xlpm.r,OR(_xlpm.r))),FALSE)</f>
        <v>1</v>
      </c>
      <c r="AG596" s="43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3294</v>
      </c>
      <c r="B597" s="45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43" t="b" cm="1">
        <f t="array" ref="AE597">IFERROR(_xlfn.BYROW(TRACK_TYPES[[#This Row],[TRACK_TYPE_STANDARD_GAUGE_RAILTYPE_OHLE]:[TRACK_TYPE_STANDARD_GAUGE_RAILTYPE_NONE]],_xlfn.LAMBDA(_xlpm.r,OR(_xlpm.r))),FALSE)</f>
        <v>0</v>
      </c>
      <c r="AF597" s="43" t="b" cm="1">
        <f t="array" ref="AF597">IFERROR(_xlfn.BYROW(TRACK_TYPES[[#This Row],[TRACK_TYPE_NARROW_GAUGE_RAILTYPE_OHLE]:[TRACK_TYPE_NARROW_GAUGE_RAILTYPE_NONE]],_xlfn.LAMBDA(_xlpm.r,OR(_xlpm.r))),FALSE)</f>
        <v>1</v>
      </c>
      <c r="AG597" s="43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3295</v>
      </c>
      <c r="B598" s="45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43" t="b" cm="1">
        <f t="array" ref="AE598">IFERROR(_xlfn.BYROW(TRACK_TYPES[[#This Row],[TRACK_TYPE_STANDARD_GAUGE_RAILTYPE_OHLE]:[TRACK_TYPE_STANDARD_GAUGE_RAILTYPE_NONE]],_xlfn.LAMBDA(_xlpm.r,OR(_xlpm.r))),FALSE)</f>
        <v>0</v>
      </c>
      <c r="AF598" s="43" t="b" cm="1">
        <f t="array" ref="AF598">IFERROR(_xlfn.BYROW(TRACK_TYPES[[#This Row],[TRACK_TYPE_NARROW_GAUGE_RAILTYPE_OHLE]:[TRACK_TYPE_NARROW_GAUGE_RAILTYPE_NONE]],_xlfn.LAMBDA(_xlpm.r,OR(_xlpm.r))),FALSE)</f>
        <v>1</v>
      </c>
      <c r="AG598" s="43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3296</v>
      </c>
      <c r="B599" s="45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43" t="b" cm="1">
        <f t="array" ref="AE599">IFERROR(_xlfn.BYROW(TRACK_TYPES[[#This Row],[TRACK_TYPE_STANDARD_GAUGE_RAILTYPE_OHLE]:[TRACK_TYPE_STANDARD_GAUGE_RAILTYPE_NONE]],_xlfn.LAMBDA(_xlpm.r,OR(_xlpm.r))),FALSE)</f>
        <v>0</v>
      </c>
      <c r="AF599" s="43" t="b" cm="1">
        <f t="array" ref="AF599">IFERROR(_xlfn.BYROW(TRACK_TYPES[[#This Row],[TRACK_TYPE_NARROW_GAUGE_RAILTYPE_OHLE]:[TRACK_TYPE_NARROW_GAUGE_RAILTYPE_NONE]],_xlfn.LAMBDA(_xlpm.r,OR(_xlpm.r))),FALSE)</f>
        <v>1</v>
      </c>
      <c r="AG599" s="43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3297</v>
      </c>
      <c r="B600" s="45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43" t="b" cm="1">
        <f t="array" ref="AE600">IFERROR(_xlfn.BYROW(TRACK_TYPES[[#This Row],[TRACK_TYPE_STANDARD_GAUGE_RAILTYPE_OHLE]:[TRACK_TYPE_STANDARD_GAUGE_RAILTYPE_NONE]],_xlfn.LAMBDA(_xlpm.r,OR(_xlpm.r))),FALSE)</f>
        <v>0</v>
      </c>
      <c r="AF600" s="43" t="b" cm="1">
        <f t="array" ref="AF600">IFERROR(_xlfn.BYROW(TRACK_TYPES[[#This Row],[TRACK_TYPE_NARROW_GAUGE_RAILTYPE_OHLE]:[TRACK_TYPE_NARROW_GAUGE_RAILTYPE_NONE]],_xlfn.LAMBDA(_xlpm.r,OR(_xlpm.r))),FALSE)</f>
        <v>1</v>
      </c>
      <c r="AG600" s="43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3298</v>
      </c>
      <c r="B601" s="45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43" t="b" cm="1">
        <f t="array" ref="AE601">IFERROR(_xlfn.BYROW(TRACK_TYPES[[#This Row],[TRACK_TYPE_STANDARD_GAUGE_RAILTYPE_OHLE]:[TRACK_TYPE_STANDARD_GAUGE_RAILTYPE_NONE]],_xlfn.LAMBDA(_xlpm.r,OR(_xlpm.r))),FALSE)</f>
        <v>0</v>
      </c>
      <c r="AF601" s="43" t="b" cm="1">
        <f t="array" ref="AF601">IFERROR(_xlfn.BYROW(TRACK_TYPES[[#This Row],[TRACK_TYPE_NARROW_GAUGE_RAILTYPE_OHLE]:[TRACK_TYPE_NARROW_GAUGE_RAILTYPE_NONE]],_xlfn.LAMBDA(_xlpm.r,OR(_xlpm.r))),FALSE)</f>
        <v>1</v>
      </c>
      <c r="AG601" s="43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3299</v>
      </c>
      <c r="B602" s="45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43" t="b" cm="1">
        <f t="array" ref="AE602">IFERROR(_xlfn.BYROW(TRACK_TYPES[[#This Row],[TRACK_TYPE_STANDARD_GAUGE_RAILTYPE_OHLE]:[TRACK_TYPE_STANDARD_GAUGE_RAILTYPE_NONE]],_xlfn.LAMBDA(_xlpm.r,OR(_xlpm.r))),FALSE)</f>
        <v>0</v>
      </c>
      <c r="AF602" s="43" t="b" cm="1">
        <f t="array" ref="AF602">IFERROR(_xlfn.BYROW(TRACK_TYPES[[#This Row],[TRACK_TYPE_NARROW_GAUGE_RAILTYPE_OHLE]:[TRACK_TYPE_NARROW_GAUGE_RAILTYPE_NONE]],_xlfn.LAMBDA(_xlpm.r,OR(_xlpm.r))),FALSE)</f>
        <v>1</v>
      </c>
      <c r="AG602" s="43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3300</v>
      </c>
      <c r="B603" s="45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43" t="b" cm="1">
        <f t="array" ref="AE603">IFERROR(_xlfn.BYROW(TRACK_TYPES[[#This Row],[TRACK_TYPE_STANDARD_GAUGE_RAILTYPE_OHLE]:[TRACK_TYPE_STANDARD_GAUGE_RAILTYPE_NONE]],_xlfn.LAMBDA(_xlpm.r,OR(_xlpm.r))),FALSE)</f>
        <v>0</v>
      </c>
      <c r="AF603" s="43" t="b" cm="1">
        <f t="array" ref="AF603">IFERROR(_xlfn.BYROW(TRACK_TYPES[[#This Row],[TRACK_TYPE_NARROW_GAUGE_RAILTYPE_OHLE]:[TRACK_TYPE_NARROW_GAUGE_RAILTYPE_NONE]],_xlfn.LAMBDA(_xlpm.r,OR(_xlpm.r))),FALSE)</f>
        <v>1</v>
      </c>
      <c r="AG603" s="43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3301</v>
      </c>
      <c r="B604" s="45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43" t="b" cm="1">
        <f t="array" ref="AE604">IFERROR(_xlfn.BYROW(TRACK_TYPES[[#This Row],[TRACK_TYPE_STANDARD_GAUGE_RAILTYPE_OHLE]:[TRACK_TYPE_STANDARD_GAUGE_RAILTYPE_NONE]],_xlfn.LAMBDA(_xlpm.r,OR(_xlpm.r))),FALSE)</f>
        <v>0</v>
      </c>
      <c r="AF604" s="43" t="b" cm="1">
        <f t="array" ref="AF604">IFERROR(_xlfn.BYROW(TRACK_TYPES[[#This Row],[TRACK_TYPE_NARROW_GAUGE_RAILTYPE_OHLE]:[TRACK_TYPE_NARROW_GAUGE_RAILTYPE_NONE]],_xlfn.LAMBDA(_xlpm.r,OR(_xlpm.r))),FALSE)</f>
        <v>1</v>
      </c>
      <c r="AG604" s="43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3302</v>
      </c>
      <c r="B605" s="45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43" t="b" cm="1">
        <f t="array" ref="AE605">IFERROR(_xlfn.BYROW(TRACK_TYPES[[#This Row],[TRACK_TYPE_STANDARD_GAUGE_RAILTYPE_OHLE]:[TRACK_TYPE_STANDARD_GAUGE_RAILTYPE_NONE]],_xlfn.LAMBDA(_xlpm.r,OR(_xlpm.r))),FALSE)</f>
        <v>0</v>
      </c>
      <c r="AF605" s="43" t="b" cm="1">
        <f t="array" ref="AF605">IFERROR(_xlfn.BYROW(TRACK_TYPES[[#This Row],[TRACK_TYPE_NARROW_GAUGE_RAILTYPE_OHLE]:[TRACK_TYPE_NARROW_GAUGE_RAILTYPE_NONE]],_xlfn.LAMBDA(_xlpm.r,OR(_xlpm.r))),FALSE)</f>
        <v>1</v>
      </c>
      <c r="AG605" s="43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3303</v>
      </c>
      <c r="B606" s="45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43" t="b" cm="1">
        <f t="array" ref="AE606">IFERROR(_xlfn.BYROW(TRACK_TYPES[[#This Row],[TRACK_TYPE_STANDARD_GAUGE_RAILTYPE_OHLE]:[TRACK_TYPE_STANDARD_GAUGE_RAILTYPE_NONE]],_xlfn.LAMBDA(_xlpm.r,OR(_xlpm.r))),FALSE)</f>
        <v>0</v>
      </c>
      <c r="AF606" s="43" t="b" cm="1">
        <f t="array" ref="AF606">IFERROR(_xlfn.BYROW(TRACK_TYPES[[#This Row],[TRACK_TYPE_NARROW_GAUGE_RAILTYPE_OHLE]:[TRACK_TYPE_NARROW_GAUGE_RAILTYPE_NONE]],_xlfn.LAMBDA(_xlpm.r,OR(_xlpm.r))),FALSE)</f>
        <v>1</v>
      </c>
      <c r="AG606" s="43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3304</v>
      </c>
      <c r="B607" s="45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43" t="b" cm="1">
        <f t="array" ref="AE607">IFERROR(_xlfn.BYROW(TRACK_TYPES[[#This Row],[TRACK_TYPE_STANDARD_GAUGE_RAILTYPE_OHLE]:[TRACK_TYPE_STANDARD_GAUGE_RAILTYPE_NONE]],_xlfn.LAMBDA(_xlpm.r,OR(_xlpm.r))),FALSE)</f>
        <v>0</v>
      </c>
      <c r="AF607" s="43" t="b" cm="1">
        <f t="array" ref="AF607">IFERROR(_xlfn.BYROW(TRACK_TYPES[[#This Row],[TRACK_TYPE_NARROW_GAUGE_RAILTYPE_OHLE]:[TRACK_TYPE_NARROW_GAUGE_RAILTYPE_NONE]],_xlfn.LAMBDA(_xlpm.r,OR(_xlpm.r))),FALSE)</f>
        <v>1</v>
      </c>
      <c r="AG607" s="43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3305</v>
      </c>
      <c r="B608" s="45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43" t="b" cm="1">
        <f t="array" ref="AE608">IFERROR(_xlfn.BYROW(TRACK_TYPES[[#This Row],[TRACK_TYPE_STANDARD_GAUGE_RAILTYPE_OHLE]:[TRACK_TYPE_STANDARD_GAUGE_RAILTYPE_NONE]],_xlfn.LAMBDA(_xlpm.r,OR(_xlpm.r))),FALSE)</f>
        <v>0</v>
      </c>
      <c r="AF608" s="43" t="b" cm="1">
        <f t="array" ref="AF608">IFERROR(_xlfn.BYROW(TRACK_TYPES[[#This Row],[TRACK_TYPE_NARROW_GAUGE_RAILTYPE_OHLE]:[TRACK_TYPE_NARROW_GAUGE_RAILTYPE_NONE]],_xlfn.LAMBDA(_xlpm.r,OR(_xlpm.r))),FALSE)</f>
        <v>1</v>
      </c>
      <c r="AG608" s="43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3306</v>
      </c>
      <c r="B609" s="45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43" t="b" cm="1">
        <f t="array" ref="AE609">IFERROR(_xlfn.BYROW(TRACK_TYPES[[#This Row],[TRACK_TYPE_STANDARD_GAUGE_RAILTYPE_OHLE]:[TRACK_TYPE_STANDARD_GAUGE_RAILTYPE_NONE]],_xlfn.LAMBDA(_xlpm.r,OR(_xlpm.r))),FALSE)</f>
        <v>0</v>
      </c>
      <c r="AF609" s="43" t="b" cm="1">
        <f t="array" ref="AF609">IFERROR(_xlfn.BYROW(TRACK_TYPES[[#This Row],[TRACK_TYPE_NARROW_GAUGE_RAILTYPE_OHLE]:[TRACK_TYPE_NARROW_GAUGE_RAILTYPE_NONE]],_xlfn.LAMBDA(_xlpm.r,OR(_xlpm.r))),FALSE)</f>
        <v>1</v>
      </c>
      <c r="AG609" s="43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3307</v>
      </c>
      <c r="B610" s="45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43" t="b" cm="1">
        <f t="array" ref="AE610">IFERROR(_xlfn.BYROW(TRACK_TYPES[[#This Row],[TRACK_TYPE_STANDARD_GAUGE_RAILTYPE_OHLE]:[TRACK_TYPE_STANDARD_GAUGE_RAILTYPE_NONE]],_xlfn.LAMBDA(_xlpm.r,OR(_xlpm.r))),FALSE)</f>
        <v>0</v>
      </c>
      <c r="AF610" s="43" t="b" cm="1">
        <f t="array" ref="AF610">IFERROR(_xlfn.BYROW(TRACK_TYPES[[#This Row],[TRACK_TYPE_NARROW_GAUGE_RAILTYPE_OHLE]:[TRACK_TYPE_NARROW_GAUGE_RAILTYPE_NONE]],_xlfn.LAMBDA(_xlpm.r,OR(_xlpm.r))),FALSE)</f>
        <v>1</v>
      </c>
      <c r="AG610" s="43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3308</v>
      </c>
      <c r="B611" s="45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43" t="b" cm="1">
        <f t="array" ref="AE611">IFERROR(_xlfn.BYROW(TRACK_TYPES[[#This Row],[TRACK_TYPE_STANDARD_GAUGE_RAILTYPE_OHLE]:[TRACK_TYPE_STANDARD_GAUGE_RAILTYPE_NONE]],_xlfn.LAMBDA(_xlpm.r,OR(_xlpm.r))),FALSE)</f>
        <v>0</v>
      </c>
      <c r="AF611" s="43" t="b" cm="1">
        <f t="array" ref="AF611">IFERROR(_xlfn.BYROW(TRACK_TYPES[[#This Row],[TRACK_TYPE_NARROW_GAUGE_RAILTYPE_OHLE]:[TRACK_TYPE_NARROW_GAUGE_RAILTYPE_NONE]],_xlfn.LAMBDA(_xlpm.r,OR(_xlpm.r))),FALSE)</f>
        <v>1</v>
      </c>
      <c r="AG611" s="43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3309</v>
      </c>
      <c r="B612" s="45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43" t="b" cm="1">
        <f t="array" ref="AE612">IFERROR(_xlfn.BYROW(TRACK_TYPES[[#This Row],[TRACK_TYPE_STANDARD_GAUGE_RAILTYPE_OHLE]:[TRACK_TYPE_STANDARD_GAUGE_RAILTYPE_NONE]],_xlfn.LAMBDA(_xlpm.r,OR(_xlpm.r))),FALSE)</f>
        <v>0</v>
      </c>
      <c r="AF612" s="43" t="b" cm="1">
        <f t="array" ref="AF612">IFERROR(_xlfn.BYROW(TRACK_TYPES[[#This Row],[TRACK_TYPE_NARROW_GAUGE_RAILTYPE_OHLE]:[TRACK_TYPE_NARROW_GAUGE_RAILTYPE_NONE]],_xlfn.LAMBDA(_xlpm.r,OR(_xlpm.r))),FALSE)</f>
        <v>1</v>
      </c>
      <c r="AG612" s="43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3310</v>
      </c>
      <c r="B613" s="45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43" t="b" cm="1">
        <f t="array" ref="AE613">IFERROR(_xlfn.BYROW(TRACK_TYPES[[#This Row],[TRACK_TYPE_STANDARD_GAUGE_RAILTYPE_OHLE]:[TRACK_TYPE_STANDARD_GAUGE_RAILTYPE_NONE]],_xlfn.LAMBDA(_xlpm.r,OR(_xlpm.r))),FALSE)</f>
        <v>0</v>
      </c>
      <c r="AF613" s="43" t="b" cm="1">
        <f t="array" ref="AF613">IFERROR(_xlfn.BYROW(TRACK_TYPES[[#This Row],[TRACK_TYPE_NARROW_GAUGE_RAILTYPE_OHLE]:[TRACK_TYPE_NARROW_GAUGE_RAILTYPE_NONE]],_xlfn.LAMBDA(_xlpm.r,OR(_xlpm.r))),FALSE)</f>
        <v>1</v>
      </c>
      <c r="AG613" s="43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3311</v>
      </c>
      <c r="B614" s="45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43" t="b" cm="1">
        <f t="array" ref="AE614">IFERROR(_xlfn.BYROW(TRACK_TYPES[[#This Row],[TRACK_TYPE_STANDARD_GAUGE_RAILTYPE_OHLE]:[TRACK_TYPE_STANDARD_GAUGE_RAILTYPE_NONE]],_xlfn.LAMBDA(_xlpm.r,OR(_xlpm.r))),FALSE)</f>
        <v>0</v>
      </c>
      <c r="AF614" s="43" t="b" cm="1">
        <f t="array" ref="AF614">IFERROR(_xlfn.BYROW(TRACK_TYPES[[#This Row],[TRACK_TYPE_NARROW_GAUGE_RAILTYPE_OHLE]:[TRACK_TYPE_NARROW_GAUGE_RAILTYPE_NONE]],_xlfn.LAMBDA(_xlpm.r,OR(_xlpm.r))),FALSE)</f>
        <v>0</v>
      </c>
      <c r="AG614" s="43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3312</v>
      </c>
      <c r="B615" s="45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43" t="b" cm="1">
        <f t="array" ref="AE615">IFERROR(_xlfn.BYROW(TRACK_TYPES[[#This Row],[TRACK_TYPE_STANDARD_GAUGE_RAILTYPE_OHLE]:[TRACK_TYPE_STANDARD_GAUGE_RAILTYPE_NONE]],_xlfn.LAMBDA(_xlpm.r,OR(_xlpm.r))),FALSE)</f>
        <v>0</v>
      </c>
      <c r="AF615" s="43" t="b" cm="1">
        <f t="array" ref="AF615">IFERROR(_xlfn.BYROW(TRACK_TYPES[[#This Row],[TRACK_TYPE_NARROW_GAUGE_RAILTYPE_OHLE]:[TRACK_TYPE_NARROW_GAUGE_RAILTYPE_NONE]],_xlfn.LAMBDA(_xlpm.r,OR(_xlpm.r))),FALSE)</f>
        <v>1</v>
      </c>
      <c r="AG615" s="43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3313</v>
      </c>
      <c r="B616" s="45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43" t="b" cm="1">
        <f t="array" ref="AE616">IFERROR(_xlfn.BYROW(TRACK_TYPES[[#This Row],[TRACK_TYPE_STANDARD_GAUGE_RAILTYPE_OHLE]:[TRACK_TYPE_STANDARD_GAUGE_RAILTYPE_NONE]],_xlfn.LAMBDA(_xlpm.r,OR(_xlpm.r))),FALSE)</f>
        <v>0</v>
      </c>
      <c r="AF616" s="43" t="b" cm="1">
        <f t="array" ref="AF616">IFERROR(_xlfn.BYROW(TRACK_TYPES[[#This Row],[TRACK_TYPE_NARROW_GAUGE_RAILTYPE_OHLE]:[TRACK_TYPE_NARROW_GAUGE_RAILTYPE_NONE]],_xlfn.LAMBDA(_xlpm.r,OR(_xlpm.r))),FALSE)</f>
        <v>1</v>
      </c>
      <c r="AG616" s="43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3314</v>
      </c>
      <c r="B617" s="45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43" t="b" cm="1">
        <f t="array" ref="AE617">IFERROR(_xlfn.BYROW(TRACK_TYPES[[#This Row],[TRACK_TYPE_STANDARD_GAUGE_RAILTYPE_OHLE]:[TRACK_TYPE_STANDARD_GAUGE_RAILTYPE_NONE]],_xlfn.LAMBDA(_xlpm.r,OR(_xlpm.r))),FALSE)</f>
        <v>0</v>
      </c>
      <c r="AF617" s="43" t="b" cm="1">
        <f t="array" ref="AF617">IFERROR(_xlfn.BYROW(TRACK_TYPES[[#This Row],[TRACK_TYPE_NARROW_GAUGE_RAILTYPE_OHLE]:[TRACK_TYPE_NARROW_GAUGE_RAILTYPE_NONE]],_xlfn.LAMBDA(_xlpm.r,OR(_xlpm.r))),FALSE)</f>
        <v>1</v>
      </c>
      <c r="AG617" s="43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3315</v>
      </c>
      <c r="B618" s="45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43" t="b" cm="1">
        <f t="array" ref="AE618">IFERROR(_xlfn.BYROW(TRACK_TYPES[[#This Row],[TRACK_TYPE_STANDARD_GAUGE_RAILTYPE_OHLE]:[TRACK_TYPE_STANDARD_GAUGE_RAILTYPE_NONE]],_xlfn.LAMBDA(_xlpm.r,OR(_xlpm.r))),FALSE)</f>
        <v>0</v>
      </c>
      <c r="AF618" s="43" t="b" cm="1">
        <f t="array" ref="AF618">IFERROR(_xlfn.BYROW(TRACK_TYPES[[#This Row],[TRACK_TYPE_NARROW_GAUGE_RAILTYPE_OHLE]:[TRACK_TYPE_NARROW_GAUGE_RAILTYPE_NONE]],_xlfn.LAMBDA(_xlpm.r,OR(_xlpm.r))),FALSE)</f>
        <v>1</v>
      </c>
      <c r="AG618" s="43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3316</v>
      </c>
      <c r="B619" s="45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43" t="b" cm="1">
        <f t="array" ref="AE619">IFERROR(_xlfn.BYROW(TRACK_TYPES[[#This Row],[TRACK_TYPE_STANDARD_GAUGE_RAILTYPE_OHLE]:[TRACK_TYPE_STANDARD_GAUGE_RAILTYPE_NONE]],_xlfn.LAMBDA(_xlpm.r,OR(_xlpm.r))),FALSE)</f>
        <v>0</v>
      </c>
      <c r="AF619" s="43" t="b" cm="1">
        <f t="array" ref="AF619">IFERROR(_xlfn.BYROW(TRACK_TYPES[[#This Row],[TRACK_TYPE_NARROW_GAUGE_RAILTYPE_OHLE]:[TRACK_TYPE_NARROW_GAUGE_RAILTYPE_NONE]],_xlfn.LAMBDA(_xlpm.r,OR(_xlpm.r))),FALSE)</f>
        <v>1</v>
      </c>
      <c r="AG619" s="43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3317</v>
      </c>
      <c r="B620" s="45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43" t="b" cm="1">
        <f t="array" ref="AE620">IFERROR(_xlfn.BYROW(TRACK_TYPES[[#This Row],[TRACK_TYPE_STANDARD_GAUGE_RAILTYPE_OHLE]:[TRACK_TYPE_STANDARD_GAUGE_RAILTYPE_NONE]],_xlfn.LAMBDA(_xlpm.r,OR(_xlpm.r))),FALSE)</f>
        <v>1</v>
      </c>
      <c r="AF620" s="43" t="b" cm="1">
        <f t="array" ref="AF620">IFERROR(_xlfn.BYROW(TRACK_TYPES[[#This Row],[TRACK_TYPE_NARROW_GAUGE_RAILTYPE_OHLE]:[TRACK_TYPE_NARROW_GAUGE_RAILTYPE_NONE]],_xlfn.LAMBDA(_xlpm.r,OR(_xlpm.r))),FALSE)</f>
        <v>0</v>
      </c>
      <c r="AG620" s="43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3318</v>
      </c>
      <c r="B621" s="45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43" t="b" cm="1">
        <f t="array" ref="AE621">IFERROR(_xlfn.BYROW(TRACK_TYPES[[#This Row],[TRACK_TYPE_STANDARD_GAUGE_RAILTYPE_OHLE]:[TRACK_TYPE_STANDARD_GAUGE_RAILTYPE_NONE]],_xlfn.LAMBDA(_xlpm.r,OR(_xlpm.r))),FALSE)</f>
        <v>1</v>
      </c>
      <c r="AF621" s="43" t="b" cm="1">
        <f t="array" ref="AF621">IFERROR(_xlfn.BYROW(TRACK_TYPES[[#This Row],[TRACK_TYPE_NARROW_GAUGE_RAILTYPE_OHLE]:[TRACK_TYPE_NARROW_GAUGE_RAILTYPE_NONE]],_xlfn.LAMBDA(_xlpm.r,OR(_xlpm.r))),FALSE)</f>
        <v>0</v>
      </c>
      <c r="AG621" s="43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3319</v>
      </c>
      <c r="B622" s="45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43" t="b" cm="1">
        <f t="array" ref="AE622">IFERROR(_xlfn.BYROW(TRACK_TYPES[[#This Row],[TRACK_TYPE_STANDARD_GAUGE_RAILTYPE_OHLE]:[TRACK_TYPE_STANDARD_GAUGE_RAILTYPE_NONE]],_xlfn.LAMBDA(_xlpm.r,OR(_xlpm.r))),FALSE)</f>
        <v>0</v>
      </c>
      <c r="AF622" s="43" t="b" cm="1">
        <f t="array" ref="AF622">IFERROR(_xlfn.BYROW(TRACK_TYPES[[#This Row],[TRACK_TYPE_NARROW_GAUGE_RAILTYPE_OHLE]:[TRACK_TYPE_NARROW_GAUGE_RAILTYPE_NONE]],_xlfn.LAMBDA(_xlpm.r,OR(_xlpm.r))),FALSE)</f>
        <v>0</v>
      </c>
      <c r="AG622" s="43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3561</v>
      </c>
      <c r="B623" s="45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43" t="b" cm="1">
        <f t="array" ref="AE623">IFERROR(_xlfn.BYROW(TRACK_TYPES[[#This Row],[TRACK_TYPE_STANDARD_GAUGE_RAILTYPE_OHLE]:[TRACK_TYPE_STANDARD_GAUGE_RAILTYPE_NONE]],_xlfn.LAMBDA(_xlpm.r,OR(_xlpm.r))),FALSE)</f>
        <v>0</v>
      </c>
      <c r="AF623" s="43" t="b" cm="1">
        <f t="array" ref="AF623">IFERROR(_xlfn.BYROW(TRACK_TYPES[[#This Row],[TRACK_TYPE_NARROW_GAUGE_RAILTYPE_OHLE]:[TRACK_TYPE_NARROW_GAUGE_RAILTYPE_NONE]],_xlfn.LAMBDA(_xlpm.r,OR(_xlpm.r))),FALSE)</f>
        <v>1</v>
      </c>
      <c r="AG623" s="43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3321</v>
      </c>
      <c r="B624" s="45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43" t="b" cm="1">
        <f t="array" ref="AE624">IFERROR(_xlfn.BYROW(TRACK_TYPES[[#This Row],[TRACK_TYPE_STANDARD_GAUGE_RAILTYPE_OHLE]:[TRACK_TYPE_STANDARD_GAUGE_RAILTYPE_NONE]],_xlfn.LAMBDA(_xlpm.r,OR(_xlpm.r))),FALSE)</f>
        <v>0</v>
      </c>
      <c r="AF624" s="43" t="b" cm="1">
        <f t="array" ref="AF624">IFERROR(_xlfn.BYROW(TRACK_TYPES[[#This Row],[TRACK_TYPE_NARROW_GAUGE_RAILTYPE_OHLE]:[TRACK_TYPE_NARROW_GAUGE_RAILTYPE_NONE]],_xlfn.LAMBDA(_xlpm.r,OR(_xlpm.r))),FALSE)</f>
        <v>1</v>
      </c>
      <c r="AG624" s="43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3322</v>
      </c>
      <c r="B625" s="45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43" t="b" cm="1">
        <f t="array" ref="AE625">IFERROR(_xlfn.BYROW(TRACK_TYPES[[#This Row],[TRACK_TYPE_STANDARD_GAUGE_RAILTYPE_OHLE]:[TRACK_TYPE_STANDARD_GAUGE_RAILTYPE_NONE]],_xlfn.LAMBDA(_xlpm.r,OR(_xlpm.r))),FALSE)</f>
        <v>0</v>
      </c>
      <c r="AF625" s="43" t="b" cm="1">
        <f t="array" ref="AF625">IFERROR(_xlfn.BYROW(TRACK_TYPES[[#This Row],[TRACK_TYPE_NARROW_GAUGE_RAILTYPE_OHLE]:[TRACK_TYPE_NARROW_GAUGE_RAILTYPE_NONE]],_xlfn.LAMBDA(_xlpm.r,OR(_xlpm.r))),FALSE)</f>
        <v>0</v>
      </c>
      <c r="AG625" s="43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3323</v>
      </c>
      <c r="B626" s="45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43" t="b" cm="1">
        <f t="array" ref="AE626">IFERROR(_xlfn.BYROW(TRACK_TYPES[[#This Row],[TRACK_TYPE_STANDARD_GAUGE_RAILTYPE_OHLE]:[TRACK_TYPE_STANDARD_GAUGE_RAILTYPE_NONE]],_xlfn.LAMBDA(_xlpm.r,OR(_xlpm.r))),FALSE)</f>
        <v>0</v>
      </c>
      <c r="AF626" s="43" t="b" cm="1">
        <f t="array" ref="AF626">IFERROR(_xlfn.BYROW(TRACK_TYPES[[#This Row],[TRACK_TYPE_NARROW_GAUGE_RAILTYPE_OHLE]:[TRACK_TYPE_NARROW_GAUGE_RAILTYPE_NONE]],_xlfn.LAMBDA(_xlpm.r,OR(_xlpm.r))),FALSE)</f>
        <v>0</v>
      </c>
      <c r="AG626" s="43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3324</v>
      </c>
      <c r="B627" s="45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43" t="b" cm="1">
        <f t="array" ref="AE627">IFERROR(_xlfn.BYROW(TRACK_TYPES[[#This Row],[TRACK_TYPE_STANDARD_GAUGE_RAILTYPE_OHLE]:[TRACK_TYPE_STANDARD_GAUGE_RAILTYPE_NONE]],_xlfn.LAMBDA(_xlpm.r,OR(_xlpm.r))),FALSE)</f>
        <v>0</v>
      </c>
      <c r="AF627" s="43" t="b" cm="1">
        <f t="array" ref="AF627">IFERROR(_xlfn.BYROW(TRACK_TYPES[[#This Row],[TRACK_TYPE_NARROW_GAUGE_RAILTYPE_OHLE]:[TRACK_TYPE_NARROW_GAUGE_RAILTYPE_NONE]],_xlfn.LAMBDA(_xlpm.r,OR(_xlpm.r))),FALSE)</f>
        <v>1</v>
      </c>
      <c r="AG627" s="43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3325</v>
      </c>
      <c r="B628" s="45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43" t="b" cm="1">
        <f t="array" ref="AE628">IFERROR(_xlfn.BYROW(TRACK_TYPES[[#This Row],[TRACK_TYPE_STANDARD_GAUGE_RAILTYPE_OHLE]:[TRACK_TYPE_STANDARD_GAUGE_RAILTYPE_NONE]],_xlfn.LAMBDA(_xlpm.r,OR(_xlpm.r))),FALSE)</f>
        <v>0</v>
      </c>
      <c r="AF628" s="43" t="b" cm="1">
        <f t="array" ref="AF628">IFERROR(_xlfn.BYROW(TRACK_TYPES[[#This Row],[TRACK_TYPE_NARROW_GAUGE_RAILTYPE_OHLE]:[TRACK_TYPE_NARROW_GAUGE_RAILTYPE_NONE]],_xlfn.LAMBDA(_xlpm.r,OR(_xlpm.r))),FALSE)</f>
        <v>1</v>
      </c>
      <c r="AG628" s="43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3326</v>
      </c>
      <c r="B629" s="45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43" t="b" cm="1">
        <f t="array" ref="AE629">IFERROR(_xlfn.BYROW(TRACK_TYPES[[#This Row],[TRACK_TYPE_STANDARD_GAUGE_RAILTYPE_OHLE]:[TRACK_TYPE_STANDARD_GAUGE_RAILTYPE_NONE]],_xlfn.LAMBDA(_xlpm.r,OR(_xlpm.r))),FALSE)</f>
        <v>0</v>
      </c>
      <c r="AF629" s="43" t="b" cm="1">
        <f t="array" ref="AF629">IFERROR(_xlfn.BYROW(TRACK_TYPES[[#This Row],[TRACK_TYPE_NARROW_GAUGE_RAILTYPE_OHLE]:[TRACK_TYPE_NARROW_GAUGE_RAILTYPE_NONE]],_xlfn.LAMBDA(_xlpm.r,OR(_xlpm.r))),FALSE)</f>
        <v>0</v>
      </c>
      <c r="AG629" s="43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3327</v>
      </c>
      <c r="B630" s="45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43" t="b" cm="1">
        <f t="array" ref="AE630">IFERROR(_xlfn.BYROW(TRACK_TYPES[[#This Row],[TRACK_TYPE_STANDARD_GAUGE_RAILTYPE_OHLE]:[TRACK_TYPE_STANDARD_GAUGE_RAILTYPE_NONE]],_xlfn.LAMBDA(_xlpm.r,OR(_xlpm.r))),FALSE)</f>
        <v>0</v>
      </c>
      <c r="AF630" s="43" t="b" cm="1">
        <f t="array" ref="AF630">IFERROR(_xlfn.BYROW(TRACK_TYPES[[#This Row],[TRACK_TYPE_NARROW_GAUGE_RAILTYPE_OHLE]:[TRACK_TYPE_NARROW_GAUGE_RAILTYPE_NONE]],_xlfn.LAMBDA(_xlpm.r,OR(_xlpm.r))),FALSE)</f>
        <v>0</v>
      </c>
      <c r="AG630" s="43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3328</v>
      </c>
      <c r="B631" s="45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43" t="b" cm="1">
        <f t="array" ref="AE631">IFERROR(_xlfn.BYROW(TRACK_TYPES[[#This Row],[TRACK_TYPE_STANDARD_GAUGE_RAILTYPE_OHLE]:[TRACK_TYPE_STANDARD_GAUGE_RAILTYPE_NONE]],_xlfn.LAMBDA(_xlpm.r,OR(_xlpm.r))),FALSE)</f>
        <v>0</v>
      </c>
      <c r="AF631" s="43" t="b" cm="1">
        <f t="array" ref="AF631">IFERROR(_xlfn.BYROW(TRACK_TYPES[[#This Row],[TRACK_TYPE_NARROW_GAUGE_RAILTYPE_OHLE]:[TRACK_TYPE_NARROW_GAUGE_RAILTYPE_NONE]],_xlfn.LAMBDA(_xlpm.r,OR(_xlpm.r))),FALSE)</f>
        <v>0</v>
      </c>
      <c r="AG631" s="43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3329</v>
      </c>
      <c r="B632" s="45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43" t="b" cm="1">
        <f t="array" ref="AE632">IFERROR(_xlfn.BYROW(TRACK_TYPES[[#This Row],[TRACK_TYPE_STANDARD_GAUGE_RAILTYPE_OHLE]:[TRACK_TYPE_STANDARD_GAUGE_RAILTYPE_NONE]],_xlfn.LAMBDA(_xlpm.r,OR(_xlpm.r))),FALSE)</f>
        <v>0</v>
      </c>
      <c r="AF632" s="43" t="b" cm="1">
        <f t="array" ref="AF632">IFERROR(_xlfn.BYROW(TRACK_TYPES[[#This Row],[TRACK_TYPE_NARROW_GAUGE_RAILTYPE_OHLE]:[TRACK_TYPE_NARROW_GAUGE_RAILTYPE_NONE]],_xlfn.LAMBDA(_xlpm.r,OR(_xlpm.r))),FALSE)</f>
        <v>0</v>
      </c>
      <c r="AG632" s="43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3330</v>
      </c>
      <c r="B633" s="45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43" t="b" cm="1">
        <f t="array" ref="AE633">IFERROR(_xlfn.BYROW(TRACK_TYPES[[#This Row],[TRACK_TYPE_STANDARD_GAUGE_RAILTYPE_OHLE]:[TRACK_TYPE_STANDARD_GAUGE_RAILTYPE_NONE]],_xlfn.LAMBDA(_xlpm.r,OR(_xlpm.r))),FALSE)</f>
        <v>1</v>
      </c>
      <c r="AF633" s="43" t="b" cm="1">
        <f t="array" ref="AF633">IFERROR(_xlfn.BYROW(TRACK_TYPES[[#This Row],[TRACK_TYPE_NARROW_GAUGE_RAILTYPE_OHLE]:[TRACK_TYPE_NARROW_GAUGE_RAILTYPE_NONE]],_xlfn.LAMBDA(_xlpm.r,OR(_xlpm.r))),FALSE)</f>
        <v>0</v>
      </c>
      <c r="AG633" s="43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>
      <c r="A634" s="2" t="s">
        <v>3331</v>
      </c>
      <c r="B634" s="45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43" t="b" cm="1">
        <f t="array" ref="AE634">IFERROR(_xlfn.BYROW(TRACK_TYPES[[#This Row],[TRACK_TYPE_STANDARD_GAUGE_RAILTYPE_OHLE]:[TRACK_TYPE_STANDARD_GAUGE_RAILTYPE_NONE]],_xlfn.LAMBDA(_xlpm.r,OR(_xlpm.r))),FALSE)</f>
        <v>0</v>
      </c>
      <c r="AF634" s="43" t="b" cm="1">
        <f t="array" ref="AF634">IFERROR(_xlfn.BYROW(TRACK_TYPES[[#This Row],[TRACK_TYPE_NARROW_GAUGE_RAILTYPE_OHLE]:[TRACK_TYPE_NARROW_GAUGE_RAILTYPE_NONE]],_xlfn.LAMBDA(_xlpm.r,OR(_xlpm.r))),FALSE)</f>
        <v>0</v>
      </c>
      <c r="AG634" s="43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3332</v>
      </c>
      <c r="B635" s="45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43" t="b" cm="1">
        <f t="array" ref="AE635">IFERROR(_xlfn.BYROW(TRACK_TYPES[[#This Row],[TRACK_TYPE_STANDARD_GAUGE_RAILTYPE_OHLE]:[TRACK_TYPE_STANDARD_GAUGE_RAILTYPE_NONE]],_xlfn.LAMBDA(_xlpm.r,OR(_xlpm.r))),FALSE)</f>
        <v>0</v>
      </c>
      <c r="AF635" s="43" t="b" cm="1">
        <f t="array" ref="AF635">IFERROR(_xlfn.BYROW(TRACK_TYPES[[#This Row],[TRACK_TYPE_NARROW_GAUGE_RAILTYPE_OHLE]:[TRACK_TYPE_NARROW_GAUGE_RAILTYPE_NONE]],_xlfn.LAMBDA(_xlpm.r,OR(_xlpm.r))),FALSE)</f>
        <v>0</v>
      </c>
      <c r="AG635" s="43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3333</v>
      </c>
      <c r="B636" s="45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43" t="b" cm="1">
        <f t="array" ref="AE636">IFERROR(_xlfn.BYROW(TRACK_TYPES[[#This Row],[TRACK_TYPE_STANDARD_GAUGE_RAILTYPE_OHLE]:[TRACK_TYPE_STANDARD_GAUGE_RAILTYPE_NONE]],_xlfn.LAMBDA(_xlpm.r,OR(_xlpm.r))),FALSE)</f>
        <v>0</v>
      </c>
      <c r="AF636" s="43" t="b" cm="1">
        <f t="array" ref="AF636">IFERROR(_xlfn.BYROW(TRACK_TYPES[[#This Row],[TRACK_TYPE_NARROW_GAUGE_RAILTYPE_OHLE]:[TRACK_TYPE_NARROW_GAUGE_RAILTYPE_NONE]],_xlfn.LAMBDA(_xlpm.r,OR(_xlpm.r))),FALSE)</f>
        <v>0</v>
      </c>
      <c r="AG636" s="43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3334</v>
      </c>
      <c r="B637" s="45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43" t="b" cm="1">
        <f t="array" ref="AE637">IFERROR(_xlfn.BYROW(TRACK_TYPES[[#This Row],[TRACK_TYPE_STANDARD_GAUGE_RAILTYPE_OHLE]:[TRACK_TYPE_STANDARD_GAUGE_RAILTYPE_NONE]],_xlfn.LAMBDA(_xlpm.r,OR(_xlpm.r))),FALSE)</f>
        <v>0</v>
      </c>
      <c r="AF637" s="43" t="b" cm="1">
        <f t="array" ref="AF637">IFERROR(_xlfn.BYROW(TRACK_TYPES[[#This Row],[TRACK_TYPE_NARROW_GAUGE_RAILTYPE_OHLE]:[TRACK_TYPE_NARROW_GAUGE_RAILTYPE_NONE]],_xlfn.LAMBDA(_xlpm.r,OR(_xlpm.r))),FALSE)</f>
        <v>0</v>
      </c>
      <c r="AG637" s="43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3335</v>
      </c>
      <c r="B638" s="45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43" t="b" cm="1">
        <f t="array" ref="AE638">IFERROR(_xlfn.BYROW(TRACK_TYPES[[#This Row],[TRACK_TYPE_STANDARD_GAUGE_RAILTYPE_OHLE]:[TRACK_TYPE_STANDARD_GAUGE_RAILTYPE_NONE]],_xlfn.LAMBDA(_xlpm.r,OR(_xlpm.r))),FALSE)</f>
        <v>0</v>
      </c>
      <c r="AF638" s="43" t="b" cm="1">
        <f t="array" ref="AF638">IFERROR(_xlfn.BYROW(TRACK_TYPES[[#This Row],[TRACK_TYPE_NARROW_GAUGE_RAILTYPE_OHLE]:[TRACK_TYPE_NARROW_GAUGE_RAILTYPE_NONE]],_xlfn.LAMBDA(_xlpm.r,OR(_xlpm.r))),FALSE)</f>
        <v>0</v>
      </c>
      <c r="AG638" s="43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3336</v>
      </c>
      <c r="B639" s="45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43" t="b" cm="1">
        <f t="array" ref="AE639">IFERROR(_xlfn.BYROW(TRACK_TYPES[[#This Row],[TRACK_TYPE_STANDARD_GAUGE_RAILTYPE_OHLE]:[TRACK_TYPE_STANDARD_GAUGE_RAILTYPE_NONE]],_xlfn.LAMBDA(_xlpm.r,OR(_xlpm.r))),FALSE)</f>
        <v>0</v>
      </c>
      <c r="AF639" s="43" t="b" cm="1">
        <f t="array" ref="AF639">IFERROR(_xlfn.BYROW(TRACK_TYPES[[#This Row],[TRACK_TYPE_NARROW_GAUGE_RAILTYPE_OHLE]:[TRACK_TYPE_NARROW_GAUGE_RAILTYPE_NONE]],_xlfn.LAMBDA(_xlpm.r,OR(_xlpm.r))),FALSE)</f>
        <v>0</v>
      </c>
      <c r="AG639" s="43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3337</v>
      </c>
      <c r="B640" s="45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43" t="b" cm="1">
        <f t="array" ref="AE640">IFERROR(_xlfn.BYROW(TRACK_TYPES[[#This Row],[TRACK_TYPE_STANDARD_GAUGE_RAILTYPE_OHLE]:[TRACK_TYPE_STANDARD_GAUGE_RAILTYPE_NONE]],_xlfn.LAMBDA(_xlpm.r,OR(_xlpm.r))),FALSE)</f>
        <v>0</v>
      </c>
      <c r="AF640" s="43" t="b" cm="1">
        <f t="array" ref="AF640">IFERROR(_xlfn.BYROW(TRACK_TYPES[[#This Row],[TRACK_TYPE_NARROW_GAUGE_RAILTYPE_OHLE]:[TRACK_TYPE_NARROW_GAUGE_RAILTYPE_NONE]],_xlfn.LAMBDA(_xlpm.r,OR(_xlpm.r))),FALSE)</f>
        <v>0</v>
      </c>
      <c r="AG640" s="43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3338</v>
      </c>
      <c r="B641" s="45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43" t="b" cm="1">
        <f t="array" ref="AE641">IFERROR(_xlfn.BYROW(TRACK_TYPES[[#This Row],[TRACK_TYPE_STANDARD_GAUGE_RAILTYPE_OHLE]:[TRACK_TYPE_STANDARD_GAUGE_RAILTYPE_NONE]],_xlfn.LAMBDA(_xlpm.r,OR(_xlpm.r))),FALSE)</f>
        <v>0</v>
      </c>
      <c r="AF641" s="43" t="b" cm="1">
        <f t="array" ref="AF641">IFERROR(_xlfn.BYROW(TRACK_TYPES[[#This Row],[TRACK_TYPE_NARROW_GAUGE_RAILTYPE_OHLE]:[TRACK_TYPE_NARROW_GAUGE_RAILTYPE_NONE]],_xlfn.LAMBDA(_xlpm.r,OR(_xlpm.r))),FALSE)</f>
        <v>0</v>
      </c>
      <c r="AG641" s="43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3339</v>
      </c>
      <c r="B642" s="45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43" t="b" cm="1">
        <f t="array" ref="AE642">IFERROR(_xlfn.BYROW(TRACK_TYPES[[#This Row],[TRACK_TYPE_STANDARD_GAUGE_RAILTYPE_OHLE]:[TRACK_TYPE_STANDARD_GAUGE_RAILTYPE_NONE]],_xlfn.LAMBDA(_xlpm.r,OR(_xlpm.r))),FALSE)</f>
        <v>0</v>
      </c>
      <c r="AF642" s="43" t="b" cm="1">
        <f t="array" ref="AF642">IFERROR(_xlfn.BYROW(TRACK_TYPES[[#This Row],[TRACK_TYPE_NARROW_GAUGE_RAILTYPE_OHLE]:[TRACK_TYPE_NARROW_GAUGE_RAILTYPE_NONE]],_xlfn.LAMBDA(_xlpm.r,OR(_xlpm.r))),FALSE)</f>
        <v>0</v>
      </c>
      <c r="AG642" s="43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3340</v>
      </c>
      <c r="B643" s="45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43" t="b" cm="1">
        <f t="array" ref="AE643">IFERROR(_xlfn.BYROW(TRACK_TYPES[[#This Row],[TRACK_TYPE_STANDARD_GAUGE_RAILTYPE_OHLE]:[TRACK_TYPE_STANDARD_GAUGE_RAILTYPE_NONE]],_xlfn.LAMBDA(_xlpm.r,OR(_xlpm.r))),FALSE)</f>
        <v>0</v>
      </c>
      <c r="AF643" s="43" t="b" cm="1">
        <f t="array" ref="AF643">IFERROR(_xlfn.BYROW(TRACK_TYPES[[#This Row],[TRACK_TYPE_NARROW_GAUGE_RAILTYPE_OHLE]:[TRACK_TYPE_NARROW_GAUGE_RAILTYPE_NONE]],_xlfn.LAMBDA(_xlpm.r,OR(_xlpm.r))),FALSE)</f>
        <v>0</v>
      </c>
      <c r="AG643" s="43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3341</v>
      </c>
      <c r="B644" s="45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43" t="b" cm="1">
        <f t="array" ref="AE644">IFERROR(_xlfn.BYROW(TRACK_TYPES[[#This Row],[TRACK_TYPE_STANDARD_GAUGE_RAILTYPE_OHLE]:[TRACK_TYPE_STANDARD_GAUGE_RAILTYPE_NONE]],_xlfn.LAMBDA(_xlpm.r,OR(_xlpm.r))),FALSE)</f>
        <v>0</v>
      </c>
      <c r="AF644" s="43" t="b" cm="1">
        <f t="array" ref="AF644">IFERROR(_xlfn.BYROW(TRACK_TYPES[[#This Row],[TRACK_TYPE_NARROW_GAUGE_RAILTYPE_OHLE]:[TRACK_TYPE_NARROW_GAUGE_RAILTYPE_NONE]],_xlfn.LAMBDA(_xlpm.r,OR(_xlpm.r))),FALSE)</f>
        <v>0</v>
      </c>
      <c r="AG644" s="43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3342</v>
      </c>
      <c r="B645" s="45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43" t="b" cm="1">
        <f t="array" ref="AE645">IFERROR(_xlfn.BYROW(TRACK_TYPES[[#This Row],[TRACK_TYPE_STANDARD_GAUGE_RAILTYPE_OHLE]:[TRACK_TYPE_STANDARD_GAUGE_RAILTYPE_NONE]],_xlfn.LAMBDA(_xlpm.r,OR(_xlpm.r))),FALSE)</f>
        <v>0</v>
      </c>
      <c r="AF645" s="43" t="b" cm="1">
        <f t="array" ref="AF645">IFERROR(_xlfn.BYROW(TRACK_TYPES[[#This Row],[TRACK_TYPE_NARROW_GAUGE_RAILTYPE_OHLE]:[TRACK_TYPE_NARROW_GAUGE_RAILTYPE_NONE]],_xlfn.LAMBDA(_xlpm.r,OR(_xlpm.r))),FALSE)</f>
        <v>0</v>
      </c>
      <c r="AG645" s="43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3343</v>
      </c>
      <c r="B646" s="45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43" t="b" cm="1">
        <f t="array" ref="AE646">IFERROR(_xlfn.BYROW(TRACK_TYPES[[#This Row],[TRACK_TYPE_STANDARD_GAUGE_RAILTYPE_OHLE]:[TRACK_TYPE_STANDARD_GAUGE_RAILTYPE_NONE]],_xlfn.LAMBDA(_xlpm.r,OR(_xlpm.r))),FALSE)</f>
        <v>0</v>
      </c>
      <c r="AF646" s="43" t="b" cm="1">
        <f t="array" ref="AF646">IFERROR(_xlfn.BYROW(TRACK_TYPES[[#This Row],[TRACK_TYPE_NARROW_GAUGE_RAILTYPE_OHLE]:[TRACK_TYPE_NARROW_GAUGE_RAILTYPE_NONE]],_xlfn.LAMBDA(_xlpm.r,OR(_xlpm.r))),FALSE)</f>
        <v>0</v>
      </c>
      <c r="AG646" s="43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3344</v>
      </c>
      <c r="B647" s="45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43" t="b" cm="1">
        <f t="array" ref="AE647">IFERROR(_xlfn.BYROW(TRACK_TYPES[[#This Row],[TRACK_TYPE_STANDARD_GAUGE_RAILTYPE_OHLE]:[TRACK_TYPE_STANDARD_GAUGE_RAILTYPE_NONE]],_xlfn.LAMBDA(_xlpm.r,OR(_xlpm.r))),FALSE)</f>
        <v>1</v>
      </c>
      <c r="AF647" s="43" t="b" cm="1">
        <f t="array" ref="AF647">IFERROR(_xlfn.BYROW(TRACK_TYPES[[#This Row],[TRACK_TYPE_NARROW_GAUGE_RAILTYPE_OHLE]:[TRACK_TYPE_NARROW_GAUGE_RAILTYPE_NONE]],_xlfn.LAMBDA(_xlpm.r,OR(_xlpm.r))),FALSE)</f>
        <v>0</v>
      </c>
      <c r="AG647" s="43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3345</v>
      </c>
      <c r="B648" s="45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43" t="b" cm="1">
        <f t="array" ref="AE648">IFERROR(_xlfn.BYROW(TRACK_TYPES[[#This Row],[TRACK_TYPE_STANDARD_GAUGE_RAILTYPE_OHLE]:[TRACK_TYPE_STANDARD_GAUGE_RAILTYPE_NONE]],_xlfn.LAMBDA(_xlpm.r,OR(_xlpm.r))),FALSE)</f>
        <v>0</v>
      </c>
      <c r="AF648" s="43" t="b" cm="1">
        <f t="array" ref="AF648">IFERROR(_xlfn.BYROW(TRACK_TYPES[[#This Row],[TRACK_TYPE_NARROW_GAUGE_RAILTYPE_OHLE]:[TRACK_TYPE_NARROW_GAUGE_RAILTYPE_NONE]],_xlfn.LAMBDA(_xlpm.r,OR(_xlpm.r))),FALSE)</f>
        <v>0</v>
      </c>
      <c r="AG648" s="43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5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43" t="b" cm="1">
        <f t="array" ref="AE649">IFERROR(_xlfn.BYROW(TRACK_TYPES[[#This Row],[TRACK_TYPE_STANDARD_GAUGE_RAILTYPE_OHLE]:[TRACK_TYPE_STANDARD_GAUGE_RAILTYPE_NONE]],_xlfn.LAMBDA(_xlpm.r,OR(_xlpm.r))),FALSE)</f>
        <v>1</v>
      </c>
      <c r="AF649" s="43" t="b" cm="1">
        <f t="array" ref="AF649">IFERROR(_xlfn.BYROW(TRACK_TYPES[[#This Row],[TRACK_TYPE_NARROW_GAUGE_RAILTYPE_OHLE]:[TRACK_TYPE_NARROW_GAUGE_RAILTYPE_NONE]],_xlfn.LAMBDA(_xlpm.r,OR(_xlpm.r))),FALSE)</f>
        <v>1</v>
      </c>
      <c r="AG649" s="43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5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43" t="b" cm="1">
        <f t="array" ref="AE650">IFERROR(_xlfn.BYROW(TRACK_TYPES[[#This Row],[TRACK_TYPE_STANDARD_GAUGE_RAILTYPE_OHLE]:[TRACK_TYPE_STANDARD_GAUGE_RAILTYPE_NONE]],_xlfn.LAMBDA(_xlpm.r,OR(_xlpm.r))),FALSE)</f>
        <v>1</v>
      </c>
      <c r="AF650" s="43" t="b" cm="1">
        <f t="array" ref="AF650">IFERROR(_xlfn.BYROW(TRACK_TYPES[[#This Row],[TRACK_TYPE_NARROW_GAUGE_RAILTYPE_OHLE]:[TRACK_TYPE_NARROW_GAUGE_RAILTYPE_NONE]],_xlfn.LAMBDA(_xlpm.r,OR(_xlpm.r))),FALSE)</f>
        <v>1</v>
      </c>
      <c r="AG650" s="43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5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43" t="b" cm="1">
        <f t="array" ref="AE651">IFERROR(_xlfn.BYROW(TRACK_TYPES[[#This Row],[TRACK_TYPE_STANDARD_GAUGE_RAILTYPE_OHLE]:[TRACK_TYPE_STANDARD_GAUGE_RAILTYPE_NONE]],_xlfn.LAMBDA(_xlpm.r,OR(_xlpm.r))),FALSE)</f>
        <v>1</v>
      </c>
      <c r="AF651" s="43" t="b" cm="1">
        <f t="array" ref="AF651">IFERROR(_xlfn.BYROW(TRACK_TYPES[[#This Row],[TRACK_TYPE_NARROW_GAUGE_RAILTYPE_OHLE]:[TRACK_TYPE_NARROW_GAUGE_RAILTYPE_NONE]],_xlfn.LAMBDA(_xlpm.r,OR(_xlpm.r))),FALSE)</f>
        <v>1</v>
      </c>
      <c r="AG651" s="43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5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43" t="b" cm="1">
        <f t="array" ref="AE652">IFERROR(_xlfn.BYROW(TRACK_TYPES[[#This Row],[TRACK_TYPE_STANDARD_GAUGE_RAILTYPE_OHLE]:[TRACK_TYPE_STANDARD_GAUGE_RAILTYPE_NONE]],_xlfn.LAMBDA(_xlpm.r,OR(_xlpm.r))),FALSE)</f>
        <v>1</v>
      </c>
      <c r="AF652" s="43" t="b" cm="1">
        <f t="array" ref="AF652">IFERROR(_xlfn.BYROW(TRACK_TYPES[[#This Row],[TRACK_TYPE_NARROW_GAUGE_RAILTYPE_OHLE]:[TRACK_TYPE_NARROW_GAUGE_RAILTYPE_NONE]],_xlfn.LAMBDA(_xlpm.r,OR(_xlpm.r))),FALSE)</f>
        <v>1</v>
      </c>
      <c r="AG652" s="43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5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43" t="b" cm="1">
        <f t="array" ref="AE653">IFERROR(_xlfn.BYROW(TRACK_TYPES[[#This Row],[TRACK_TYPE_STANDARD_GAUGE_RAILTYPE_OHLE]:[TRACK_TYPE_STANDARD_GAUGE_RAILTYPE_NONE]],_xlfn.LAMBDA(_xlpm.r,OR(_xlpm.r))),FALSE)</f>
        <v>1</v>
      </c>
      <c r="AF653" s="43" t="b" cm="1">
        <f t="array" ref="AF653">IFERROR(_xlfn.BYROW(TRACK_TYPES[[#This Row],[TRACK_TYPE_NARROW_GAUGE_RAILTYPE_OHLE]:[TRACK_TYPE_NARROW_GAUGE_RAILTYPE_NONE]],_xlfn.LAMBDA(_xlpm.r,OR(_xlpm.r))),FALSE)</f>
        <v>1</v>
      </c>
      <c r="AG653" s="43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5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43" t="b" cm="1">
        <f t="array" ref="AE654">IFERROR(_xlfn.BYROW(TRACK_TYPES[[#This Row],[TRACK_TYPE_STANDARD_GAUGE_RAILTYPE_OHLE]:[TRACK_TYPE_STANDARD_GAUGE_RAILTYPE_NONE]],_xlfn.LAMBDA(_xlpm.r,OR(_xlpm.r))),FALSE)</f>
        <v>1</v>
      </c>
      <c r="AF654" s="43" t="b" cm="1">
        <f t="array" ref="AF654">IFERROR(_xlfn.BYROW(TRACK_TYPES[[#This Row],[TRACK_TYPE_NARROW_GAUGE_RAILTYPE_OHLE]:[TRACK_TYPE_NARROW_GAUGE_RAILTYPE_NONE]],_xlfn.LAMBDA(_xlpm.r,OR(_xlpm.r))),FALSE)</f>
        <v>1</v>
      </c>
      <c r="AG654" s="43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5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43" t="b" cm="1">
        <f t="array" ref="AE655">IFERROR(_xlfn.BYROW(TRACK_TYPES[[#This Row],[TRACK_TYPE_STANDARD_GAUGE_RAILTYPE_OHLE]:[TRACK_TYPE_STANDARD_GAUGE_RAILTYPE_NONE]],_xlfn.LAMBDA(_xlpm.r,OR(_xlpm.r))),FALSE)</f>
        <v>1</v>
      </c>
      <c r="AF655" s="43" t="b" cm="1">
        <f t="array" ref="AF655">IFERROR(_xlfn.BYROW(TRACK_TYPES[[#This Row],[TRACK_TYPE_NARROW_GAUGE_RAILTYPE_OHLE]:[TRACK_TYPE_NARROW_GAUGE_RAILTYPE_NONE]],_xlfn.LAMBDA(_xlpm.r,OR(_xlpm.r))),FALSE)</f>
        <v>1</v>
      </c>
      <c r="AG655" s="43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5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43" t="b" cm="1">
        <f t="array" ref="AE656">IFERROR(_xlfn.BYROW(TRACK_TYPES[[#This Row],[TRACK_TYPE_STANDARD_GAUGE_RAILTYPE_OHLE]:[TRACK_TYPE_STANDARD_GAUGE_RAILTYPE_NONE]],_xlfn.LAMBDA(_xlpm.r,OR(_xlpm.r))),FALSE)</f>
        <v>1</v>
      </c>
      <c r="AF656" s="43" t="b" cm="1">
        <f t="array" ref="AF656">IFERROR(_xlfn.BYROW(TRACK_TYPES[[#This Row],[TRACK_TYPE_NARROW_GAUGE_RAILTYPE_OHLE]:[TRACK_TYPE_NARROW_GAUGE_RAILTYPE_NONE]],_xlfn.LAMBDA(_xlpm.r,OR(_xlpm.r))),FALSE)</f>
        <v>1</v>
      </c>
      <c r="AG656" s="43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5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43" t="b" cm="1">
        <f t="array" ref="AE657">IFERROR(_xlfn.BYROW(TRACK_TYPES[[#This Row],[TRACK_TYPE_STANDARD_GAUGE_RAILTYPE_OHLE]:[TRACK_TYPE_STANDARD_GAUGE_RAILTYPE_NONE]],_xlfn.LAMBDA(_xlpm.r,OR(_xlpm.r))),FALSE)</f>
        <v>1</v>
      </c>
      <c r="AF657" s="43" t="b" cm="1">
        <f t="array" ref="AF657">IFERROR(_xlfn.BYROW(TRACK_TYPES[[#This Row],[TRACK_TYPE_NARROW_GAUGE_RAILTYPE_OHLE]:[TRACK_TYPE_NARROW_GAUGE_RAILTYPE_NONE]],_xlfn.LAMBDA(_xlpm.r,OR(_xlpm.r))),FALSE)</f>
        <v>1</v>
      </c>
      <c r="AG657" s="43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5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43" t="b" cm="1">
        <f t="array" ref="AE658">IFERROR(_xlfn.BYROW(TRACK_TYPES[[#This Row],[TRACK_TYPE_STANDARD_GAUGE_RAILTYPE_OHLE]:[TRACK_TYPE_STANDARD_GAUGE_RAILTYPE_NONE]],_xlfn.LAMBDA(_xlpm.r,OR(_xlpm.r))),FALSE)</f>
        <v>1</v>
      </c>
      <c r="AF658" s="43" t="b" cm="1">
        <f t="array" ref="AF658">IFERROR(_xlfn.BYROW(TRACK_TYPES[[#This Row],[TRACK_TYPE_NARROW_GAUGE_RAILTYPE_OHLE]:[TRACK_TYPE_NARROW_GAUGE_RAILTYPE_NONE]],_xlfn.LAMBDA(_xlpm.r,OR(_xlpm.r))),FALSE)</f>
        <v>1</v>
      </c>
      <c r="AG658" s="43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162</v>
      </c>
      <c r="B659" s="45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43" t="b" cm="1">
        <f t="array" ref="AE659">IFERROR(_xlfn.BYROW(TRACK_TYPES[[#This Row],[TRACK_TYPE_STANDARD_GAUGE_RAILTYPE_OHLE]:[TRACK_TYPE_STANDARD_GAUGE_RAILTYPE_NONE]],_xlfn.LAMBDA(_xlpm.r,OR(_xlpm.r))),FALSE)</f>
        <v>1</v>
      </c>
      <c r="AF659" s="43" t="b" cm="1">
        <f t="array" ref="AF659">IFERROR(_xlfn.BYROW(TRACK_TYPES[[#This Row],[TRACK_TYPE_NARROW_GAUGE_RAILTYPE_OHLE]:[TRACK_TYPE_NARROW_GAUGE_RAILTYPE_NONE]],_xlfn.LAMBDA(_xlpm.r,OR(_xlpm.r))),FALSE)</f>
        <v>1</v>
      </c>
      <c r="AG659" s="43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163</v>
      </c>
      <c r="B660" s="45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43" t="b" cm="1">
        <f t="array" ref="AE660">IFERROR(_xlfn.BYROW(TRACK_TYPES[[#This Row],[TRACK_TYPE_STANDARD_GAUGE_RAILTYPE_OHLE]:[TRACK_TYPE_STANDARD_GAUGE_RAILTYPE_NONE]],_xlfn.LAMBDA(_xlpm.r,OR(_xlpm.r))),FALSE)</f>
        <v>1</v>
      </c>
      <c r="AF660" s="43" t="b" cm="1">
        <f t="array" ref="AF660">IFERROR(_xlfn.BYROW(TRACK_TYPES[[#This Row],[TRACK_TYPE_NARROW_GAUGE_RAILTYPE_OHLE]:[TRACK_TYPE_NARROW_GAUGE_RAILTYPE_NONE]],_xlfn.LAMBDA(_xlpm.r,OR(_xlpm.r))),FALSE)</f>
        <v>1</v>
      </c>
      <c r="AG660" s="43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164</v>
      </c>
      <c r="B661" s="45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43" t="b" cm="1">
        <f t="array" ref="AE661">IFERROR(_xlfn.BYROW(TRACK_TYPES[[#This Row],[TRACK_TYPE_STANDARD_GAUGE_RAILTYPE_OHLE]:[TRACK_TYPE_STANDARD_GAUGE_RAILTYPE_NONE]],_xlfn.LAMBDA(_xlpm.r,OR(_xlpm.r))),FALSE)</f>
        <v>1</v>
      </c>
      <c r="AF661" s="43" t="b" cm="1">
        <f t="array" ref="AF661">IFERROR(_xlfn.BYROW(TRACK_TYPES[[#This Row],[TRACK_TYPE_NARROW_GAUGE_RAILTYPE_OHLE]:[TRACK_TYPE_NARROW_GAUGE_RAILTYPE_NONE]],_xlfn.LAMBDA(_xlpm.r,OR(_xlpm.r))),FALSE)</f>
        <v>1</v>
      </c>
      <c r="AG661" s="43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165</v>
      </c>
      <c r="B662" s="45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43" t="b" cm="1">
        <f t="array" ref="AE662">IFERROR(_xlfn.BYROW(TRACK_TYPES[[#This Row],[TRACK_TYPE_STANDARD_GAUGE_RAILTYPE_OHLE]:[TRACK_TYPE_STANDARD_GAUGE_RAILTYPE_NONE]],_xlfn.LAMBDA(_xlpm.r,OR(_xlpm.r))),FALSE)</f>
        <v>1</v>
      </c>
      <c r="AF662" s="43" t="b" cm="1">
        <f t="array" ref="AF662">IFERROR(_xlfn.BYROW(TRACK_TYPES[[#This Row],[TRACK_TYPE_NARROW_GAUGE_RAILTYPE_OHLE]:[TRACK_TYPE_NARROW_GAUGE_RAILTYPE_NONE]],_xlfn.LAMBDA(_xlpm.r,OR(_xlpm.r))),FALSE)</f>
        <v>1</v>
      </c>
      <c r="AG662" s="43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166</v>
      </c>
      <c r="B663" s="45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43" t="b" cm="1">
        <f t="array" ref="AE663">IFERROR(_xlfn.BYROW(TRACK_TYPES[[#This Row],[TRACK_TYPE_STANDARD_GAUGE_RAILTYPE_OHLE]:[TRACK_TYPE_STANDARD_GAUGE_RAILTYPE_NONE]],_xlfn.LAMBDA(_xlpm.r,OR(_xlpm.r))),FALSE)</f>
        <v>1</v>
      </c>
      <c r="AF663" s="43" t="b" cm="1">
        <f t="array" ref="AF663">IFERROR(_xlfn.BYROW(TRACK_TYPES[[#This Row],[TRACK_TYPE_NARROW_GAUGE_RAILTYPE_OHLE]:[TRACK_TYPE_NARROW_GAUGE_RAILTYPE_NONE]],_xlfn.LAMBDA(_xlpm.r,OR(_xlpm.r))),FALSE)</f>
        <v>1</v>
      </c>
      <c r="AG663" s="43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167</v>
      </c>
      <c r="B664" s="45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43" t="b" cm="1">
        <f t="array" ref="AE664">IFERROR(_xlfn.BYROW(TRACK_TYPES[[#This Row],[TRACK_TYPE_STANDARD_GAUGE_RAILTYPE_OHLE]:[TRACK_TYPE_STANDARD_GAUGE_RAILTYPE_NONE]],_xlfn.LAMBDA(_xlpm.r,OR(_xlpm.r))),FALSE)</f>
        <v>1</v>
      </c>
      <c r="AF664" s="43" t="b" cm="1">
        <f t="array" ref="AF664">IFERROR(_xlfn.BYROW(TRACK_TYPES[[#This Row],[TRACK_TYPE_NARROW_GAUGE_RAILTYPE_OHLE]:[TRACK_TYPE_NARROW_GAUGE_RAILTYPE_NONE]],_xlfn.LAMBDA(_xlpm.r,OR(_xlpm.r))),FALSE)</f>
        <v>1</v>
      </c>
      <c r="AG664" s="43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168</v>
      </c>
      <c r="B665" s="45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43" t="b" cm="1">
        <f t="array" ref="AE665">IFERROR(_xlfn.BYROW(TRACK_TYPES[[#This Row],[TRACK_TYPE_STANDARD_GAUGE_RAILTYPE_OHLE]:[TRACK_TYPE_STANDARD_GAUGE_RAILTYPE_NONE]],_xlfn.LAMBDA(_xlpm.r,OR(_xlpm.r))),FALSE)</f>
        <v>1</v>
      </c>
      <c r="AF665" s="43" t="b" cm="1">
        <f t="array" ref="AF665">IFERROR(_xlfn.BYROW(TRACK_TYPES[[#This Row],[TRACK_TYPE_NARROW_GAUGE_RAILTYPE_OHLE]:[TRACK_TYPE_NARROW_GAUGE_RAILTYPE_NONE]],_xlfn.LAMBDA(_xlpm.r,OR(_xlpm.r))),FALSE)</f>
        <v>1</v>
      </c>
      <c r="AG665" s="43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169</v>
      </c>
      <c r="B666" s="45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43" t="b" cm="1">
        <f t="array" ref="AE666">IFERROR(_xlfn.BYROW(TRACK_TYPES[[#This Row],[TRACK_TYPE_STANDARD_GAUGE_RAILTYPE_OHLE]:[TRACK_TYPE_STANDARD_GAUGE_RAILTYPE_NONE]],_xlfn.LAMBDA(_xlpm.r,OR(_xlpm.r))),FALSE)</f>
        <v>1</v>
      </c>
      <c r="AF666" s="43" t="b" cm="1">
        <f t="array" ref="AF666">IFERROR(_xlfn.BYROW(TRACK_TYPES[[#This Row],[TRACK_TYPE_NARROW_GAUGE_RAILTYPE_OHLE]:[TRACK_TYPE_NARROW_GAUGE_RAILTYPE_NONE]],_xlfn.LAMBDA(_xlpm.r,OR(_xlpm.r))),FALSE)</f>
        <v>1</v>
      </c>
      <c r="AG666" s="43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170</v>
      </c>
      <c r="B667" s="45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43" t="b" cm="1">
        <f t="array" ref="AE667">IFERROR(_xlfn.BYROW(TRACK_TYPES[[#This Row],[TRACK_TYPE_STANDARD_GAUGE_RAILTYPE_OHLE]:[TRACK_TYPE_STANDARD_GAUGE_RAILTYPE_NONE]],_xlfn.LAMBDA(_xlpm.r,OR(_xlpm.r))),FALSE)</f>
        <v>1</v>
      </c>
      <c r="AF667" s="43" t="b" cm="1">
        <f t="array" ref="AF667">IFERROR(_xlfn.BYROW(TRACK_TYPES[[#This Row],[TRACK_TYPE_NARROW_GAUGE_RAILTYPE_OHLE]:[TRACK_TYPE_NARROW_GAUGE_RAILTYPE_NONE]],_xlfn.LAMBDA(_xlpm.r,OR(_xlpm.r))),FALSE)</f>
        <v>1</v>
      </c>
      <c r="AG667" s="43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171</v>
      </c>
      <c r="B668" s="45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43" t="b" cm="1">
        <f t="array" ref="AE668">IFERROR(_xlfn.BYROW(TRACK_TYPES[[#This Row],[TRACK_TYPE_STANDARD_GAUGE_RAILTYPE_OHLE]:[TRACK_TYPE_STANDARD_GAUGE_RAILTYPE_NONE]],_xlfn.LAMBDA(_xlpm.r,OR(_xlpm.r))),FALSE)</f>
        <v>1</v>
      </c>
      <c r="AF668" s="43" t="b" cm="1">
        <f t="array" ref="AF668">IFERROR(_xlfn.BYROW(TRACK_TYPES[[#This Row],[TRACK_TYPE_NARROW_GAUGE_RAILTYPE_OHLE]:[TRACK_TYPE_NARROW_GAUGE_RAILTYPE_NONE]],_xlfn.LAMBDA(_xlpm.r,OR(_xlpm.r))),FALSE)</f>
        <v>1</v>
      </c>
      <c r="AG668" s="43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172</v>
      </c>
      <c r="B669" s="45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43" t="b" cm="1">
        <f t="array" ref="AE669">IFERROR(_xlfn.BYROW(TRACK_TYPES[[#This Row],[TRACK_TYPE_STANDARD_GAUGE_RAILTYPE_OHLE]:[TRACK_TYPE_STANDARD_GAUGE_RAILTYPE_NONE]],_xlfn.LAMBDA(_xlpm.r,OR(_xlpm.r))),FALSE)</f>
        <v>1</v>
      </c>
      <c r="AF669" s="43" t="b" cm="1">
        <f t="array" ref="AF669">IFERROR(_xlfn.BYROW(TRACK_TYPES[[#This Row],[TRACK_TYPE_NARROW_GAUGE_RAILTYPE_OHLE]:[TRACK_TYPE_NARROW_GAUGE_RAILTYPE_NONE]],_xlfn.LAMBDA(_xlpm.r,OR(_xlpm.r))),FALSE)</f>
        <v>1</v>
      </c>
      <c r="AG669" s="43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173</v>
      </c>
      <c r="B670" s="45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43" t="b" cm="1">
        <f t="array" ref="AE670">IFERROR(_xlfn.BYROW(TRACK_TYPES[[#This Row],[TRACK_TYPE_STANDARD_GAUGE_RAILTYPE_OHLE]:[TRACK_TYPE_STANDARD_GAUGE_RAILTYPE_NONE]],_xlfn.LAMBDA(_xlpm.r,OR(_xlpm.r))),FALSE)</f>
        <v>1</v>
      </c>
      <c r="AF670" s="43" t="b" cm="1">
        <f t="array" ref="AF670">IFERROR(_xlfn.BYROW(TRACK_TYPES[[#This Row],[TRACK_TYPE_NARROW_GAUGE_RAILTYPE_OHLE]:[TRACK_TYPE_NARROW_GAUGE_RAILTYPE_NONE]],_xlfn.LAMBDA(_xlpm.r,OR(_xlpm.r))),FALSE)</f>
        <v>1</v>
      </c>
      <c r="AG670" s="43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174</v>
      </c>
      <c r="B671" s="45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43" t="b" cm="1">
        <f t="array" ref="AE671">IFERROR(_xlfn.BYROW(TRACK_TYPES[[#This Row],[TRACK_TYPE_STANDARD_GAUGE_RAILTYPE_OHLE]:[TRACK_TYPE_STANDARD_GAUGE_RAILTYPE_NONE]],_xlfn.LAMBDA(_xlpm.r,OR(_xlpm.r))),FALSE)</f>
        <v>1</v>
      </c>
      <c r="AF671" s="43" t="b" cm="1">
        <f t="array" ref="AF671">IFERROR(_xlfn.BYROW(TRACK_TYPES[[#This Row],[TRACK_TYPE_NARROW_GAUGE_RAILTYPE_OHLE]:[TRACK_TYPE_NARROW_GAUGE_RAILTYPE_NONE]],_xlfn.LAMBDA(_xlpm.r,OR(_xlpm.r))),FALSE)</f>
        <v>1</v>
      </c>
      <c r="AG671" s="43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175</v>
      </c>
      <c r="B672" s="45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43" t="b" cm="1">
        <f t="array" ref="AE672">IFERROR(_xlfn.BYROW(TRACK_TYPES[[#This Row],[TRACK_TYPE_STANDARD_GAUGE_RAILTYPE_OHLE]:[TRACK_TYPE_STANDARD_GAUGE_RAILTYPE_NONE]],_xlfn.LAMBDA(_xlpm.r,OR(_xlpm.r))),FALSE)</f>
        <v>1</v>
      </c>
      <c r="AF672" s="43" t="b" cm="1">
        <f t="array" ref="AF672">IFERROR(_xlfn.BYROW(TRACK_TYPES[[#This Row],[TRACK_TYPE_NARROW_GAUGE_RAILTYPE_OHLE]:[TRACK_TYPE_NARROW_GAUGE_RAILTYPE_NONE]],_xlfn.LAMBDA(_xlpm.r,OR(_xlpm.r))),FALSE)</f>
        <v>1</v>
      </c>
      <c r="AG672" s="43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176</v>
      </c>
      <c r="B673" s="45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43" t="b" cm="1">
        <f t="array" ref="AE673">IFERROR(_xlfn.BYROW(TRACK_TYPES[[#This Row],[TRACK_TYPE_STANDARD_GAUGE_RAILTYPE_OHLE]:[TRACK_TYPE_STANDARD_GAUGE_RAILTYPE_NONE]],_xlfn.LAMBDA(_xlpm.r,OR(_xlpm.r))),FALSE)</f>
        <v>1</v>
      </c>
      <c r="AF673" s="43" t="b" cm="1">
        <f t="array" ref="AF673">IFERROR(_xlfn.BYROW(TRACK_TYPES[[#This Row],[TRACK_TYPE_NARROW_GAUGE_RAILTYPE_OHLE]:[TRACK_TYPE_NARROW_GAUGE_RAILTYPE_NONE]],_xlfn.LAMBDA(_xlpm.r,OR(_xlpm.r))),FALSE)</f>
        <v>1</v>
      </c>
      <c r="AG673" s="43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177</v>
      </c>
      <c r="B674" s="45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43" t="b" cm="1">
        <f t="array" ref="AE674">IFERROR(_xlfn.BYROW(TRACK_TYPES[[#This Row],[TRACK_TYPE_STANDARD_GAUGE_RAILTYPE_OHLE]:[TRACK_TYPE_STANDARD_GAUGE_RAILTYPE_NONE]],_xlfn.LAMBDA(_xlpm.r,OR(_xlpm.r))),FALSE)</f>
        <v>1</v>
      </c>
      <c r="AF674" s="43" t="b" cm="1">
        <f t="array" ref="AF674">IFERROR(_xlfn.BYROW(TRACK_TYPES[[#This Row],[TRACK_TYPE_NARROW_GAUGE_RAILTYPE_OHLE]:[TRACK_TYPE_NARROW_GAUGE_RAILTYPE_NONE]],_xlfn.LAMBDA(_xlpm.r,OR(_xlpm.r))),FALSE)</f>
        <v>1</v>
      </c>
      <c r="AG674" s="43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178</v>
      </c>
      <c r="B675" s="45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43" t="b" cm="1">
        <f t="array" ref="AE675">IFERROR(_xlfn.BYROW(TRACK_TYPES[[#This Row],[TRACK_TYPE_STANDARD_GAUGE_RAILTYPE_OHLE]:[TRACK_TYPE_STANDARD_GAUGE_RAILTYPE_NONE]],_xlfn.LAMBDA(_xlpm.r,OR(_xlpm.r))),FALSE)</f>
        <v>1</v>
      </c>
      <c r="AF675" s="43" t="b" cm="1">
        <f t="array" ref="AF675">IFERROR(_xlfn.BYROW(TRACK_TYPES[[#This Row],[TRACK_TYPE_NARROW_GAUGE_RAILTYPE_OHLE]:[TRACK_TYPE_NARROW_GAUGE_RAILTYPE_NONE]],_xlfn.LAMBDA(_xlpm.r,OR(_xlpm.r))),FALSE)</f>
        <v>1</v>
      </c>
      <c r="AG675" s="43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179</v>
      </c>
      <c r="B676" s="45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43" t="b" cm="1">
        <f t="array" ref="AE676">IFERROR(_xlfn.BYROW(TRACK_TYPES[[#This Row],[TRACK_TYPE_STANDARD_GAUGE_RAILTYPE_OHLE]:[TRACK_TYPE_STANDARD_GAUGE_RAILTYPE_NONE]],_xlfn.LAMBDA(_xlpm.r,OR(_xlpm.r))),FALSE)</f>
        <v>1</v>
      </c>
      <c r="AF676" s="43" t="b" cm="1">
        <f t="array" ref="AF676">IFERROR(_xlfn.BYROW(TRACK_TYPES[[#This Row],[TRACK_TYPE_NARROW_GAUGE_RAILTYPE_OHLE]:[TRACK_TYPE_NARROW_GAUGE_RAILTYPE_NONE]],_xlfn.LAMBDA(_xlpm.r,OR(_xlpm.r))),FALSE)</f>
        <v>1</v>
      </c>
      <c r="AG676" s="43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180</v>
      </c>
      <c r="B677" s="45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43" t="b" cm="1">
        <f t="array" ref="AE677">IFERROR(_xlfn.BYROW(TRACK_TYPES[[#This Row],[TRACK_TYPE_STANDARD_GAUGE_RAILTYPE_OHLE]:[TRACK_TYPE_STANDARD_GAUGE_RAILTYPE_NONE]],_xlfn.LAMBDA(_xlpm.r,OR(_xlpm.r))),FALSE)</f>
        <v>1</v>
      </c>
      <c r="AF677" s="43" t="b" cm="1">
        <f t="array" ref="AF677">IFERROR(_xlfn.BYROW(TRACK_TYPES[[#This Row],[TRACK_TYPE_NARROW_GAUGE_RAILTYPE_OHLE]:[TRACK_TYPE_NARROW_GAUGE_RAILTYPE_NONE]],_xlfn.LAMBDA(_xlpm.r,OR(_xlpm.r))),FALSE)</f>
        <v>1</v>
      </c>
      <c r="AG677" s="43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181</v>
      </c>
      <c r="B678" s="45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43" t="b" cm="1">
        <f t="array" ref="AE678">IFERROR(_xlfn.BYROW(TRACK_TYPES[[#This Row],[TRACK_TYPE_STANDARD_GAUGE_RAILTYPE_OHLE]:[TRACK_TYPE_STANDARD_GAUGE_RAILTYPE_NONE]],_xlfn.LAMBDA(_xlpm.r,OR(_xlpm.r))),FALSE)</f>
        <v>1</v>
      </c>
      <c r="AF678" s="43" t="b" cm="1">
        <f t="array" ref="AF678">IFERROR(_xlfn.BYROW(TRACK_TYPES[[#This Row],[TRACK_TYPE_NARROW_GAUGE_RAILTYPE_OHLE]:[TRACK_TYPE_NARROW_GAUGE_RAILTYPE_NONE]],_xlfn.LAMBDA(_xlpm.r,OR(_xlpm.r))),FALSE)</f>
        <v>1</v>
      </c>
      <c r="AG678" s="43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182</v>
      </c>
      <c r="B679" s="45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43" t="b" cm="1">
        <f t="array" ref="AE679">IFERROR(_xlfn.BYROW(TRACK_TYPES[[#This Row],[TRACK_TYPE_STANDARD_GAUGE_RAILTYPE_OHLE]:[TRACK_TYPE_STANDARD_GAUGE_RAILTYPE_NONE]],_xlfn.LAMBDA(_xlpm.r,OR(_xlpm.r))),FALSE)</f>
        <v>1</v>
      </c>
      <c r="AF679" s="43" t="b" cm="1">
        <f t="array" ref="AF679">IFERROR(_xlfn.BYROW(TRACK_TYPES[[#This Row],[TRACK_TYPE_NARROW_GAUGE_RAILTYPE_OHLE]:[TRACK_TYPE_NARROW_GAUGE_RAILTYPE_NONE]],_xlfn.LAMBDA(_xlpm.r,OR(_xlpm.r))),FALSE)</f>
        <v>1</v>
      </c>
      <c r="AG679" s="43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183</v>
      </c>
      <c r="B680" s="45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43" t="b" cm="1">
        <f t="array" ref="AE680">IFERROR(_xlfn.BYROW(TRACK_TYPES[[#This Row],[TRACK_TYPE_STANDARD_GAUGE_RAILTYPE_OHLE]:[TRACK_TYPE_STANDARD_GAUGE_RAILTYPE_NONE]],_xlfn.LAMBDA(_xlpm.r,OR(_xlpm.r))),FALSE)</f>
        <v>1</v>
      </c>
      <c r="AF680" s="43" t="b" cm="1">
        <f t="array" ref="AF680">IFERROR(_xlfn.BYROW(TRACK_TYPES[[#This Row],[TRACK_TYPE_NARROW_GAUGE_RAILTYPE_OHLE]:[TRACK_TYPE_NARROW_GAUGE_RAILTYPE_NONE]],_xlfn.LAMBDA(_xlpm.r,OR(_xlpm.r))),FALSE)</f>
        <v>1</v>
      </c>
      <c r="AG680" s="43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184</v>
      </c>
      <c r="B681" s="45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43" t="b" cm="1">
        <f t="array" ref="AE681">IFERROR(_xlfn.BYROW(TRACK_TYPES[[#This Row],[TRACK_TYPE_STANDARD_GAUGE_RAILTYPE_OHLE]:[TRACK_TYPE_STANDARD_GAUGE_RAILTYPE_NONE]],_xlfn.LAMBDA(_xlpm.r,OR(_xlpm.r))),FALSE)</f>
        <v>1</v>
      </c>
      <c r="AF681" s="43" t="b" cm="1">
        <f t="array" ref="AF681">IFERROR(_xlfn.BYROW(TRACK_TYPES[[#This Row],[TRACK_TYPE_NARROW_GAUGE_RAILTYPE_OHLE]:[TRACK_TYPE_NARROW_GAUGE_RAILTYPE_NONE]],_xlfn.LAMBDA(_xlpm.r,OR(_xlpm.r))),FALSE)</f>
        <v>1</v>
      </c>
      <c r="AG681" s="43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185</v>
      </c>
      <c r="B682" s="45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43" t="b" cm="1">
        <f t="array" ref="AE682">IFERROR(_xlfn.BYROW(TRACK_TYPES[[#This Row],[TRACK_TYPE_STANDARD_GAUGE_RAILTYPE_OHLE]:[TRACK_TYPE_STANDARD_GAUGE_RAILTYPE_NONE]],_xlfn.LAMBDA(_xlpm.r,OR(_xlpm.r))),FALSE)</f>
        <v>1</v>
      </c>
      <c r="AF682" s="43" t="b" cm="1">
        <f t="array" ref="AF682">IFERROR(_xlfn.BYROW(TRACK_TYPES[[#This Row],[TRACK_TYPE_NARROW_GAUGE_RAILTYPE_OHLE]:[TRACK_TYPE_NARROW_GAUGE_RAILTYPE_NONE]],_xlfn.LAMBDA(_xlpm.r,OR(_xlpm.r))),FALSE)</f>
        <v>1</v>
      </c>
      <c r="AG682" s="43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186</v>
      </c>
      <c r="B683" s="45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43" t="b" cm="1">
        <f t="array" ref="AE683">IFERROR(_xlfn.BYROW(TRACK_TYPES[[#This Row],[TRACK_TYPE_STANDARD_GAUGE_RAILTYPE_OHLE]:[TRACK_TYPE_STANDARD_GAUGE_RAILTYPE_NONE]],_xlfn.LAMBDA(_xlpm.r,OR(_xlpm.r))),FALSE)</f>
        <v>1</v>
      </c>
      <c r="AF683" s="43" t="b" cm="1">
        <f t="array" ref="AF683">IFERROR(_xlfn.BYROW(TRACK_TYPES[[#This Row],[TRACK_TYPE_NARROW_GAUGE_RAILTYPE_OHLE]:[TRACK_TYPE_NARROW_GAUGE_RAILTYPE_NONE]],_xlfn.LAMBDA(_xlpm.r,OR(_xlpm.r))),FALSE)</f>
        <v>1</v>
      </c>
      <c r="AG683" s="43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187</v>
      </c>
      <c r="B684" s="45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43" t="b" cm="1">
        <f t="array" ref="AE684">IFERROR(_xlfn.BYROW(TRACK_TYPES[[#This Row],[TRACK_TYPE_STANDARD_GAUGE_RAILTYPE_OHLE]:[TRACK_TYPE_STANDARD_GAUGE_RAILTYPE_NONE]],_xlfn.LAMBDA(_xlpm.r,OR(_xlpm.r))),FALSE)</f>
        <v>1</v>
      </c>
      <c r="AF684" s="43" t="b" cm="1">
        <f t="array" ref="AF684">IFERROR(_xlfn.BYROW(TRACK_TYPES[[#This Row],[TRACK_TYPE_NARROW_GAUGE_RAILTYPE_OHLE]:[TRACK_TYPE_NARROW_GAUGE_RAILTYPE_NONE]],_xlfn.LAMBDA(_xlpm.r,OR(_xlpm.r))),FALSE)</f>
        <v>1</v>
      </c>
      <c r="AG684" s="43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188</v>
      </c>
      <c r="B685" s="45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43" t="b" cm="1">
        <f t="array" ref="AE685">IFERROR(_xlfn.BYROW(TRACK_TYPES[[#This Row],[TRACK_TYPE_STANDARD_GAUGE_RAILTYPE_OHLE]:[TRACK_TYPE_STANDARD_GAUGE_RAILTYPE_NONE]],_xlfn.LAMBDA(_xlpm.r,OR(_xlpm.r))),FALSE)</f>
        <v>1</v>
      </c>
      <c r="AF685" s="43" t="b" cm="1">
        <f t="array" ref="AF685">IFERROR(_xlfn.BYROW(TRACK_TYPES[[#This Row],[TRACK_TYPE_NARROW_GAUGE_RAILTYPE_OHLE]:[TRACK_TYPE_NARROW_GAUGE_RAILTYPE_NONE]],_xlfn.LAMBDA(_xlpm.r,OR(_xlpm.r))),FALSE)</f>
        <v>1</v>
      </c>
      <c r="AG685" s="43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189</v>
      </c>
      <c r="B686" s="45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43" t="b" cm="1">
        <f t="array" ref="AE686">IFERROR(_xlfn.BYROW(TRACK_TYPES[[#This Row],[TRACK_TYPE_STANDARD_GAUGE_RAILTYPE_OHLE]:[TRACK_TYPE_STANDARD_GAUGE_RAILTYPE_NONE]],_xlfn.LAMBDA(_xlpm.r,OR(_xlpm.r))),FALSE)</f>
        <v>1</v>
      </c>
      <c r="AF686" s="43" t="b" cm="1">
        <f t="array" ref="AF686">IFERROR(_xlfn.BYROW(TRACK_TYPES[[#This Row],[TRACK_TYPE_NARROW_GAUGE_RAILTYPE_OHLE]:[TRACK_TYPE_NARROW_GAUGE_RAILTYPE_NONE]],_xlfn.LAMBDA(_xlpm.r,OR(_xlpm.r))),FALSE)</f>
        <v>1</v>
      </c>
      <c r="AG686" s="43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190</v>
      </c>
      <c r="B687" s="45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43" t="b" cm="1">
        <f t="array" ref="AE687">IFERROR(_xlfn.BYROW(TRACK_TYPES[[#This Row],[TRACK_TYPE_STANDARD_GAUGE_RAILTYPE_OHLE]:[TRACK_TYPE_STANDARD_GAUGE_RAILTYPE_NONE]],_xlfn.LAMBDA(_xlpm.r,OR(_xlpm.r))),FALSE)</f>
        <v>1</v>
      </c>
      <c r="AF687" s="43" t="b" cm="1">
        <f t="array" ref="AF687">IFERROR(_xlfn.BYROW(TRACK_TYPES[[#This Row],[TRACK_TYPE_NARROW_GAUGE_RAILTYPE_OHLE]:[TRACK_TYPE_NARROW_GAUGE_RAILTYPE_NONE]],_xlfn.LAMBDA(_xlpm.r,OR(_xlpm.r))),FALSE)</f>
        <v>1</v>
      </c>
      <c r="AG687" s="43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191</v>
      </c>
      <c r="B688" s="45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43" t="b" cm="1">
        <f t="array" ref="AE688">IFERROR(_xlfn.BYROW(TRACK_TYPES[[#This Row],[TRACK_TYPE_STANDARD_GAUGE_RAILTYPE_OHLE]:[TRACK_TYPE_STANDARD_GAUGE_RAILTYPE_NONE]],_xlfn.LAMBDA(_xlpm.r,OR(_xlpm.r))),FALSE)</f>
        <v>1</v>
      </c>
      <c r="AF688" s="43" t="b" cm="1">
        <f t="array" ref="AF688">IFERROR(_xlfn.BYROW(TRACK_TYPES[[#This Row],[TRACK_TYPE_NARROW_GAUGE_RAILTYPE_OHLE]:[TRACK_TYPE_NARROW_GAUGE_RAILTYPE_NONE]],_xlfn.LAMBDA(_xlpm.r,OR(_xlpm.r))),FALSE)</f>
        <v>1</v>
      </c>
      <c r="AG688" s="43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192</v>
      </c>
      <c r="B689" s="45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43" t="b" cm="1">
        <f t="array" ref="AE689">IFERROR(_xlfn.BYROW(TRACK_TYPES[[#This Row],[TRACK_TYPE_STANDARD_GAUGE_RAILTYPE_OHLE]:[TRACK_TYPE_STANDARD_GAUGE_RAILTYPE_NONE]],_xlfn.LAMBDA(_xlpm.r,OR(_xlpm.r))),FALSE)</f>
        <v>1</v>
      </c>
      <c r="AF689" s="43" t="b" cm="1">
        <f t="array" ref="AF689">IFERROR(_xlfn.BYROW(TRACK_TYPES[[#This Row],[TRACK_TYPE_NARROW_GAUGE_RAILTYPE_OHLE]:[TRACK_TYPE_NARROW_GAUGE_RAILTYPE_NONE]],_xlfn.LAMBDA(_xlpm.r,OR(_xlpm.r))),FALSE)</f>
        <v>1</v>
      </c>
      <c r="AG689" s="43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193</v>
      </c>
      <c r="B690" s="45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43" t="b" cm="1">
        <f t="array" ref="AE690">IFERROR(_xlfn.BYROW(TRACK_TYPES[[#This Row],[TRACK_TYPE_STANDARD_GAUGE_RAILTYPE_OHLE]:[TRACK_TYPE_STANDARD_GAUGE_RAILTYPE_NONE]],_xlfn.LAMBDA(_xlpm.r,OR(_xlpm.r))),FALSE)</f>
        <v>1</v>
      </c>
      <c r="AF690" s="43" t="b" cm="1">
        <f t="array" ref="AF690">IFERROR(_xlfn.BYROW(TRACK_TYPES[[#This Row],[TRACK_TYPE_NARROW_GAUGE_RAILTYPE_OHLE]:[TRACK_TYPE_NARROW_GAUGE_RAILTYPE_NONE]],_xlfn.LAMBDA(_xlpm.r,OR(_xlpm.r))),FALSE)</f>
        <v>1</v>
      </c>
      <c r="AG690" s="43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194</v>
      </c>
      <c r="B691" s="45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43" t="b" cm="1">
        <f t="array" ref="AE691">IFERROR(_xlfn.BYROW(TRACK_TYPES[[#This Row],[TRACK_TYPE_STANDARD_GAUGE_RAILTYPE_OHLE]:[TRACK_TYPE_STANDARD_GAUGE_RAILTYPE_NONE]],_xlfn.LAMBDA(_xlpm.r,OR(_xlpm.r))),FALSE)</f>
        <v>1</v>
      </c>
      <c r="AF691" s="43" t="b" cm="1">
        <f t="array" ref="AF691">IFERROR(_xlfn.BYROW(TRACK_TYPES[[#This Row],[TRACK_TYPE_NARROW_GAUGE_RAILTYPE_OHLE]:[TRACK_TYPE_NARROW_GAUGE_RAILTYPE_NONE]],_xlfn.LAMBDA(_xlpm.r,OR(_xlpm.r))),FALSE)</f>
        <v>1</v>
      </c>
      <c r="AG691" s="43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195</v>
      </c>
      <c r="B692" s="45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43" t="b" cm="1">
        <f t="array" ref="AE692">IFERROR(_xlfn.BYROW(TRACK_TYPES[[#This Row],[TRACK_TYPE_STANDARD_GAUGE_RAILTYPE_OHLE]:[TRACK_TYPE_STANDARD_GAUGE_RAILTYPE_NONE]],_xlfn.LAMBDA(_xlpm.r,OR(_xlpm.r))),FALSE)</f>
        <v>1</v>
      </c>
      <c r="AF692" s="43" t="b" cm="1">
        <f t="array" ref="AF692">IFERROR(_xlfn.BYROW(TRACK_TYPES[[#This Row],[TRACK_TYPE_NARROW_GAUGE_RAILTYPE_OHLE]:[TRACK_TYPE_NARROW_GAUGE_RAILTYPE_NONE]],_xlfn.LAMBDA(_xlpm.r,OR(_xlpm.r))),FALSE)</f>
        <v>1</v>
      </c>
      <c r="AG692" s="43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196</v>
      </c>
      <c r="B693" s="45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43" t="b" cm="1">
        <f t="array" ref="AE693">IFERROR(_xlfn.BYROW(TRACK_TYPES[[#This Row],[TRACK_TYPE_STANDARD_GAUGE_RAILTYPE_OHLE]:[TRACK_TYPE_STANDARD_GAUGE_RAILTYPE_NONE]],_xlfn.LAMBDA(_xlpm.r,OR(_xlpm.r))),FALSE)</f>
        <v>1</v>
      </c>
      <c r="AF693" s="43" t="b" cm="1">
        <f t="array" ref="AF693">IFERROR(_xlfn.BYROW(TRACK_TYPES[[#This Row],[TRACK_TYPE_NARROW_GAUGE_RAILTYPE_OHLE]:[TRACK_TYPE_NARROW_GAUGE_RAILTYPE_NONE]],_xlfn.LAMBDA(_xlpm.r,OR(_xlpm.r))),FALSE)</f>
        <v>1</v>
      </c>
      <c r="AG693" s="43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197</v>
      </c>
      <c r="B694" s="45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43" t="b" cm="1">
        <f t="array" ref="AE694">IFERROR(_xlfn.BYROW(TRACK_TYPES[[#This Row],[TRACK_TYPE_STANDARD_GAUGE_RAILTYPE_OHLE]:[TRACK_TYPE_STANDARD_GAUGE_RAILTYPE_NONE]],_xlfn.LAMBDA(_xlpm.r,OR(_xlpm.r))),FALSE)</f>
        <v>1</v>
      </c>
      <c r="AF694" s="43" t="b" cm="1">
        <f t="array" ref="AF694">IFERROR(_xlfn.BYROW(TRACK_TYPES[[#This Row],[TRACK_TYPE_NARROW_GAUGE_RAILTYPE_OHLE]:[TRACK_TYPE_NARROW_GAUGE_RAILTYPE_NONE]],_xlfn.LAMBDA(_xlpm.r,OR(_xlpm.r))),FALSE)</f>
        <v>1</v>
      </c>
      <c r="AG694" s="43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198</v>
      </c>
      <c r="B695" s="45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43" t="b" cm="1">
        <f t="array" ref="AE695">IFERROR(_xlfn.BYROW(TRACK_TYPES[[#This Row],[TRACK_TYPE_STANDARD_GAUGE_RAILTYPE_OHLE]:[TRACK_TYPE_STANDARD_GAUGE_RAILTYPE_NONE]],_xlfn.LAMBDA(_xlpm.r,OR(_xlpm.r))),FALSE)</f>
        <v>1</v>
      </c>
      <c r="AF695" s="43" t="b" cm="1">
        <f t="array" ref="AF695">IFERROR(_xlfn.BYROW(TRACK_TYPES[[#This Row],[TRACK_TYPE_NARROW_GAUGE_RAILTYPE_OHLE]:[TRACK_TYPE_NARROW_GAUGE_RAILTYPE_NONE]],_xlfn.LAMBDA(_xlpm.r,OR(_xlpm.r))),FALSE)</f>
        <v>1</v>
      </c>
      <c r="AG695" s="43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199</v>
      </c>
      <c r="B696" s="45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43" t="b" cm="1">
        <f t="array" ref="AE696">IFERROR(_xlfn.BYROW(TRACK_TYPES[[#This Row],[TRACK_TYPE_STANDARD_GAUGE_RAILTYPE_OHLE]:[TRACK_TYPE_STANDARD_GAUGE_RAILTYPE_NONE]],_xlfn.LAMBDA(_xlpm.r,OR(_xlpm.r))),FALSE)</f>
        <v>1</v>
      </c>
      <c r="AF696" s="43" t="b" cm="1">
        <f t="array" ref="AF696">IFERROR(_xlfn.BYROW(TRACK_TYPES[[#This Row],[TRACK_TYPE_NARROW_GAUGE_RAILTYPE_OHLE]:[TRACK_TYPE_NARROW_GAUGE_RAILTYPE_NONE]],_xlfn.LAMBDA(_xlpm.r,OR(_xlpm.r))),FALSE)</f>
        <v>1</v>
      </c>
      <c r="AG696" s="43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200</v>
      </c>
      <c r="B697" s="45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43" t="b" cm="1">
        <f t="array" ref="AE697">IFERROR(_xlfn.BYROW(TRACK_TYPES[[#This Row],[TRACK_TYPE_STANDARD_GAUGE_RAILTYPE_OHLE]:[TRACK_TYPE_STANDARD_GAUGE_RAILTYPE_NONE]],_xlfn.LAMBDA(_xlpm.r,OR(_xlpm.r))),FALSE)</f>
        <v>1</v>
      </c>
      <c r="AF697" s="43" t="b" cm="1">
        <f t="array" ref="AF697">IFERROR(_xlfn.BYROW(TRACK_TYPES[[#This Row],[TRACK_TYPE_NARROW_GAUGE_RAILTYPE_OHLE]:[TRACK_TYPE_NARROW_GAUGE_RAILTYPE_NONE]],_xlfn.LAMBDA(_xlpm.r,OR(_xlpm.r))),FALSE)</f>
        <v>1</v>
      </c>
      <c r="AG697" s="43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201</v>
      </c>
      <c r="B698" s="45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43" t="b" cm="1">
        <f t="array" ref="AE698">IFERROR(_xlfn.BYROW(TRACK_TYPES[[#This Row],[TRACK_TYPE_STANDARD_GAUGE_RAILTYPE_OHLE]:[TRACK_TYPE_STANDARD_GAUGE_RAILTYPE_NONE]],_xlfn.LAMBDA(_xlpm.r,OR(_xlpm.r))),FALSE)</f>
        <v>1</v>
      </c>
      <c r="AF698" s="43" t="b" cm="1">
        <f t="array" ref="AF698">IFERROR(_xlfn.BYROW(TRACK_TYPES[[#This Row],[TRACK_TYPE_NARROW_GAUGE_RAILTYPE_OHLE]:[TRACK_TYPE_NARROW_GAUGE_RAILTYPE_NONE]],_xlfn.LAMBDA(_xlpm.r,OR(_xlpm.r))),FALSE)</f>
        <v>1</v>
      </c>
      <c r="AG698" s="43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202</v>
      </c>
      <c r="B699" s="45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43" t="b" cm="1">
        <f t="array" ref="AE699">IFERROR(_xlfn.BYROW(TRACK_TYPES[[#This Row],[TRACK_TYPE_STANDARD_GAUGE_RAILTYPE_OHLE]:[TRACK_TYPE_STANDARD_GAUGE_RAILTYPE_NONE]],_xlfn.LAMBDA(_xlpm.r,OR(_xlpm.r))),FALSE)</f>
        <v>1</v>
      </c>
      <c r="AF699" s="43" t="b" cm="1">
        <f t="array" ref="AF699">IFERROR(_xlfn.BYROW(TRACK_TYPES[[#This Row],[TRACK_TYPE_NARROW_GAUGE_RAILTYPE_OHLE]:[TRACK_TYPE_NARROW_GAUGE_RAILTYPE_NONE]],_xlfn.LAMBDA(_xlpm.r,OR(_xlpm.r))),FALSE)</f>
        <v>1</v>
      </c>
      <c r="AG699" s="43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203</v>
      </c>
      <c r="B700" s="45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43" t="b" cm="1">
        <f t="array" ref="AE700">IFERROR(_xlfn.BYROW(TRACK_TYPES[[#This Row],[TRACK_TYPE_STANDARD_GAUGE_RAILTYPE_OHLE]:[TRACK_TYPE_STANDARD_GAUGE_RAILTYPE_NONE]],_xlfn.LAMBDA(_xlpm.r,OR(_xlpm.r))),FALSE)</f>
        <v>1</v>
      </c>
      <c r="AF700" s="43" t="b" cm="1">
        <f t="array" ref="AF700">IFERROR(_xlfn.BYROW(TRACK_TYPES[[#This Row],[TRACK_TYPE_NARROW_GAUGE_RAILTYPE_OHLE]:[TRACK_TYPE_NARROW_GAUGE_RAILTYPE_NONE]],_xlfn.LAMBDA(_xlpm.r,OR(_xlpm.r))),FALSE)</f>
        <v>1</v>
      </c>
      <c r="AG700" s="43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204</v>
      </c>
      <c r="B701" s="45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43" t="b" cm="1">
        <f t="array" ref="AE701">IFERROR(_xlfn.BYROW(TRACK_TYPES[[#This Row],[TRACK_TYPE_STANDARD_GAUGE_RAILTYPE_OHLE]:[TRACK_TYPE_STANDARD_GAUGE_RAILTYPE_NONE]],_xlfn.LAMBDA(_xlpm.r,OR(_xlpm.r))),FALSE)</f>
        <v>1</v>
      </c>
      <c r="AF701" s="43" t="b" cm="1">
        <f t="array" ref="AF701">IFERROR(_xlfn.BYROW(TRACK_TYPES[[#This Row],[TRACK_TYPE_NARROW_GAUGE_RAILTYPE_OHLE]:[TRACK_TYPE_NARROW_GAUGE_RAILTYPE_NONE]],_xlfn.LAMBDA(_xlpm.r,OR(_xlpm.r))),FALSE)</f>
        <v>1</v>
      </c>
      <c r="AG701" s="43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205</v>
      </c>
      <c r="B702" s="45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43" t="b" cm="1">
        <f t="array" ref="AE702">IFERROR(_xlfn.BYROW(TRACK_TYPES[[#This Row],[TRACK_TYPE_STANDARD_GAUGE_RAILTYPE_OHLE]:[TRACK_TYPE_STANDARD_GAUGE_RAILTYPE_NONE]],_xlfn.LAMBDA(_xlpm.r,OR(_xlpm.r))),FALSE)</f>
        <v>1</v>
      </c>
      <c r="AF702" s="43" t="b" cm="1">
        <f t="array" ref="AF702">IFERROR(_xlfn.BYROW(TRACK_TYPES[[#This Row],[TRACK_TYPE_NARROW_GAUGE_RAILTYPE_OHLE]:[TRACK_TYPE_NARROW_GAUGE_RAILTYPE_NONE]],_xlfn.LAMBDA(_xlpm.r,OR(_xlpm.r))),FALSE)</f>
        <v>1</v>
      </c>
      <c r="AG702" s="43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206</v>
      </c>
      <c r="B703" s="45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43" t="b" cm="1">
        <f t="array" ref="AE703">IFERROR(_xlfn.BYROW(TRACK_TYPES[[#This Row],[TRACK_TYPE_STANDARD_GAUGE_RAILTYPE_OHLE]:[TRACK_TYPE_STANDARD_GAUGE_RAILTYPE_NONE]],_xlfn.LAMBDA(_xlpm.r,OR(_xlpm.r))),FALSE)</f>
        <v>1</v>
      </c>
      <c r="AF703" s="43" t="b" cm="1">
        <f t="array" ref="AF703">IFERROR(_xlfn.BYROW(TRACK_TYPES[[#This Row],[TRACK_TYPE_NARROW_GAUGE_RAILTYPE_OHLE]:[TRACK_TYPE_NARROW_GAUGE_RAILTYPE_NONE]],_xlfn.LAMBDA(_xlpm.r,OR(_xlpm.r))),FALSE)</f>
        <v>1</v>
      </c>
      <c r="AG703" s="43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207</v>
      </c>
      <c r="B704" s="45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43" t="b" cm="1">
        <f t="array" ref="AE704">IFERROR(_xlfn.BYROW(TRACK_TYPES[[#This Row],[TRACK_TYPE_STANDARD_GAUGE_RAILTYPE_OHLE]:[TRACK_TYPE_STANDARD_GAUGE_RAILTYPE_NONE]],_xlfn.LAMBDA(_xlpm.r,OR(_xlpm.r))),FALSE)</f>
        <v>1</v>
      </c>
      <c r="AF704" s="43" t="b" cm="1">
        <f t="array" ref="AF704">IFERROR(_xlfn.BYROW(TRACK_TYPES[[#This Row],[TRACK_TYPE_NARROW_GAUGE_RAILTYPE_OHLE]:[TRACK_TYPE_NARROW_GAUGE_RAILTYPE_NONE]],_xlfn.LAMBDA(_xlpm.r,OR(_xlpm.r))),FALSE)</f>
        <v>1</v>
      </c>
      <c r="AG704" s="43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208</v>
      </c>
      <c r="B705" s="45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43" t="b" cm="1">
        <f t="array" ref="AE705">IFERROR(_xlfn.BYROW(TRACK_TYPES[[#This Row],[TRACK_TYPE_STANDARD_GAUGE_RAILTYPE_OHLE]:[TRACK_TYPE_STANDARD_GAUGE_RAILTYPE_NONE]],_xlfn.LAMBDA(_xlpm.r,OR(_xlpm.r))),FALSE)</f>
        <v>1</v>
      </c>
      <c r="AF705" s="43" t="b" cm="1">
        <f t="array" ref="AF705">IFERROR(_xlfn.BYROW(TRACK_TYPES[[#This Row],[TRACK_TYPE_NARROW_GAUGE_RAILTYPE_OHLE]:[TRACK_TYPE_NARROW_GAUGE_RAILTYPE_NONE]],_xlfn.LAMBDA(_xlpm.r,OR(_xlpm.r))),FALSE)</f>
        <v>1</v>
      </c>
      <c r="AG705" s="43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209</v>
      </c>
      <c r="B706" s="45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43" t="b" cm="1">
        <f t="array" ref="AE706">IFERROR(_xlfn.BYROW(TRACK_TYPES[[#This Row],[TRACK_TYPE_STANDARD_GAUGE_RAILTYPE_OHLE]:[TRACK_TYPE_STANDARD_GAUGE_RAILTYPE_NONE]],_xlfn.LAMBDA(_xlpm.r,OR(_xlpm.r))),FALSE)</f>
        <v>1</v>
      </c>
      <c r="AF706" s="43" t="b" cm="1">
        <f t="array" ref="AF706">IFERROR(_xlfn.BYROW(TRACK_TYPES[[#This Row],[TRACK_TYPE_NARROW_GAUGE_RAILTYPE_OHLE]:[TRACK_TYPE_NARROW_GAUGE_RAILTYPE_NONE]],_xlfn.LAMBDA(_xlpm.r,OR(_xlpm.r))),FALSE)</f>
        <v>1</v>
      </c>
      <c r="AG706" s="43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210</v>
      </c>
      <c r="B707" s="45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43" t="b" cm="1">
        <f t="array" ref="AE707">IFERROR(_xlfn.BYROW(TRACK_TYPES[[#This Row],[TRACK_TYPE_STANDARD_GAUGE_RAILTYPE_OHLE]:[TRACK_TYPE_STANDARD_GAUGE_RAILTYPE_NONE]],_xlfn.LAMBDA(_xlpm.r,OR(_xlpm.r))),FALSE)</f>
        <v>1</v>
      </c>
      <c r="AF707" s="43" t="b" cm="1">
        <f t="array" ref="AF707">IFERROR(_xlfn.BYROW(TRACK_TYPES[[#This Row],[TRACK_TYPE_NARROW_GAUGE_RAILTYPE_OHLE]:[TRACK_TYPE_NARROW_GAUGE_RAILTYPE_NONE]],_xlfn.LAMBDA(_xlpm.r,OR(_xlpm.r))),FALSE)</f>
        <v>1</v>
      </c>
      <c r="AG707" s="43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211</v>
      </c>
      <c r="B708" s="45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43" t="b" cm="1">
        <f t="array" ref="AE708">IFERROR(_xlfn.BYROW(TRACK_TYPES[[#This Row],[TRACK_TYPE_STANDARD_GAUGE_RAILTYPE_OHLE]:[TRACK_TYPE_STANDARD_GAUGE_RAILTYPE_NONE]],_xlfn.LAMBDA(_xlpm.r,OR(_xlpm.r))),FALSE)</f>
        <v>1</v>
      </c>
      <c r="AF708" s="43" t="b" cm="1">
        <f t="array" ref="AF708">IFERROR(_xlfn.BYROW(TRACK_TYPES[[#This Row],[TRACK_TYPE_NARROW_GAUGE_RAILTYPE_OHLE]:[TRACK_TYPE_NARROW_GAUGE_RAILTYPE_NONE]],_xlfn.LAMBDA(_xlpm.r,OR(_xlpm.r))),FALSE)</f>
        <v>1</v>
      </c>
      <c r="AG708" s="43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212</v>
      </c>
      <c r="B709" s="45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43" t="b" cm="1">
        <f t="array" ref="AE709">IFERROR(_xlfn.BYROW(TRACK_TYPES[[#This Row],[TRACK_TYPE_STANDARD_GAUGE_RAILTYPE_OHLE]:[TRACK_TYPE_STANDARD_GAUGE_RAILTYPE_NONE]],_xlfn.LAMBDA(_xlpm.r,OR(_xlpm.r))),FALSE)</f>
        <v>1</v>
      </c>
      <c r="AF709" s="43" t="b" cm="1">
        <f t="array" ref="AF709">IFERROR(_xlfn.BYROW(TRACK_TYPES[[#This Row],[TRACK_TYPE_NARROW_GAUGE_RAILTYPE_OHLE]:[TRACK_TYPE_NARROW_GAUGE_RAILTYPE_NONE]],_xlfn.LAMBDA(_xlpm.r,OR(_xlpm.r))),FALSE)</f>
        <v>1</v>
      </c>
      <c r="AG709" s="43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213</v>
      </c>
      <c r="B710" s="45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43" t="b" cm="1">
        <f t="array" ref="AE710">IFERROR(_xlfn.BYROW(TRACK_TYPES[[#This Row],[TRACK_TYPE_STANDARD_GAUGE_RAILTYPE_OHLE]:[TRACK_TYPE_STANDARD_GAUGE_RAILTYPE_NONE]],_xlfn.LAMBDA(_xlpm.r,OR(_xlpm.r))),FALSE)</f>
        <v>1</v>
      </c>
      <c r="AF710" s="43" t="b" cm="1">
        <f t="array" ref="AF710">IFERROR(_xlfn.BYROW(TRACK_TYPES[[#This Row],[TRACK_TYPE_NARROW_GAUGE_RAILTYPE_OHLE]:[TRACK_TYPE_NARROW_GAUGE_RAILTYPE_NONE]],_xlfn.LAMBDA(_xlpm.r,OR(_xlpm.r))),FALSE)</f>
        <v>1</v>
      </c>
      <c r="AG710" s="43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214</v>
      </c>
      <c r="B711" s="45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43" t="b" cm="1">
        <f t="array" ref="AE711">IFERROR(_xlfn.BYROW(TRACK_TYPES[[#This Row],[TRACK_TYPE_STANDARD_GAUGE_RAILTYPE_OHLE]:[TRACK_TYPE_STANDARD_GAUGE_RAILTYPE_NONE]],_xlfn.LAMBDA(_xlpm.r,OR(_xlpm.r))),FALSE)</f>
        <v>1</v>
      </c>
      <c r="AF711" s="43" t="b" cm="1">
        <f t="array" ref="AF711">IFERROR(_xlfn.BYROW(TRACK_TYPES[[#This Row],[TRACK_TYPE_NARROW_GAUGE_RAILTYPE_OHLE]:[TRACK_TYPE_NARROW_GAUGE_RAILTYPE_NONE]],_xlfn.LAMBDA(_xlpm.r,OR(_xlpm.r))),FALSE)</f>
        <v>1</v>
      </c>
      <c r="AG711" s="43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215</v>
      </c>
      <c r="B712" s="45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43" t="b" cm="1">
        <f t="array" ref="AE712">IFERROR(_xlfn.BYROW(TRACK_TYPES[[#This Row],[TRACK_TYPE_STANDARD_GAUGE_RAILTYPE_OHLE]:[TRACK_TYPE_STANDARD_GAUGE_RAILTYPE_NONE]],_xlfn.LAMBDA(_xlpm.r,OR(_xlpm.r))),FALSE)</f>
        <v>1</v>
      </c>
      <c r="AF712" s="43" t="b" cm="1">
        <f t="array" ref="AF712">IFERROR(_xlfn.BYROW(TRACK_TYPES[[#This Row],[TRACK_TYPE_NARROW_GAUGE_RAILTYPE_OHLE]:[TRACK_TYPE_NARROW_GAUGE_RAILTYPE_NONE]],_xlfn.LAMBDA(_xlpm.r,OR(_xlpm.r))),FALSE)</f>
        <v>1</v>
      </c>
      <c r="AG712" s="43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216</v>
      </c>
      <c r="B713" s="45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43" t="b" cm="1">
        <f t="array" ref="AE713">IFERROR(_xlfn.BYROW(TRACK_TYPES[[#This Row],[TRACK_TYPE_STANDARD_GAUGE_RAILTYPE_OHLE]:[TRACK_TYPE_STANDARD_GAUGE_RAILTYPE_NONE]],_xlfn.LAMBDA(_xlpm.r,OR(_xlpm.r))),FALSE)</f>
        <v>1</v>
      </c>
      <c r="AF713" s="43" t="b" cm="1">
        <f t="array" ref="AF713">IFERROR(_xlfn.BYROW(TRACK_TYPES[[#This Row],[TRACK_TYPE_NARROW_GAUGE_RAILTYPE_OHLE]:[TRACK_TYPE_NARROW_GAUGE_RAILTYPE_NONE]],_xlfn.LAMBDA(_xlpm.r,OR(_xlpm.r))),FALSE)</f>
        <v>1</v>
      </c>
      <c r="AG713" s="43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217</v>
      </c>
      <c r="B714" s="45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43" t="b" cm="1">
        <f t="array" ref="AE714">IFERROR(_xlfn.BYROW(TRACK_TYPES[[#This Row],[TRACK_TYPE_STANDARD_GAUGE_RAILTYPE_OHLE]:[TRACK_TYPE_STANDARD_GAUGE_RAILTYPE_NONE]],_xlfn.LAMBDA(_xlpm.r,OR(_xlpm.r))),FALSE)</f>
        <v>1</v>
      </c>
      <c r="AF714" s="43" t="b" cm="1">
        <f t="array" ref="AF714">IFERROR(_xlfn.BYROW(TRACK_TYPES[[#This Row],[TRACK_TYPE_NARROW_GAUGE_RAILTYPE_OHLE]:[TRACK_TYPE_NARROW_GAUGE_RAILTYPE_NONE]],_xlfn.LAMBDA(_xlpm.r,OR(_xlpm.r))),FALSE)</f>
        <v>1</v>
      </c>
      <c r="AG714" s="43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218</v>
      </c>
      <c r="B715" s="45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43" t="b" cm="1">
        <f t="array" ref="AE715">IFERROR(_xlfn.BYROW(TRACK_TYPES[[#This Row],[TRACK_TYPE_STANDARD_GAUGE_RAILTYPE_OHLE]:[TRACK_TYPE_STANDARD_GAUGE_RAILTYPE_NONE]],_xlfn.LAMBDA(_xlpm.r,OR(_xlpm.r))),FALSE)</f>
        <v>1</v>
      </c>
      <c r="AF715" s="43" t="b" cm="1">
        <f t="array" ref="AF715">IFERROR(_xlfn.BYROW(TRACK_TYPES[[#This Row],[TRACK_TYPE_NARROW_GAUGE_RAILTYPE_OHLE]:[TRACK_TYPE_NARROW_GAUGE_RAILTYPE_NONE]],_xlfn.LAMBDA(_xlpm.r,OR(_xlpm.r))),FALSE)</f>
        <v>1</v>
      </c>
      <c r="AG715" s="43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219</v>
      </c>
      <c r="B716" s="45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43" t="b" cm="1">
        <f t="array" ref="AE716">IFERROR(_xlfn.BYROW(TRACK_TYPES[[#This Row],[TRACK_TYPE_STANDARD_GAUGE_RAILTYPE_OHLE]:[TRACK_TYPE_STANDARD_GAUGE_RAILTYPE_NONE]],_xlfn.LAMBDA(_xlpm.r,OR(_xlpm.r))),FALSE)</f>
        <v>1</v>
      </c>
      <c r="AF716" s="43" t="b" cm="1">
        <f t="array" ref="AF716">IFERROR(_xlfn.BYROW(TRACK_TYPES[[#This Row],[TRACK_TYPE_NARROW_GAUGE_RAILTYPE_OHLE]:[TRACK_TYPE_NARROW_GAUGE_RAILTYPE_NONE]],_xlfn.LAMBDA(_xlpm.r,OR(_xlpm.r))),FALSE)</f>
        <v>1</v>
      </c>
      <c r="AG716" s="43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234</v>
      </c>
      <c r="B717" s="45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43" t="b" cm="1">
        <f t="array" ref="AE717">IFERROR(_xlfn.BYROW(TRACK_TYPES[[#This Row],[TRACK_TYPE_STANDARD_GAUGE_RAILTYPE_OHLE]:[TRACK_TYPE_STANDARD_GAUGE_RAILTYPE_NONE]],_xlfn.LAMBDA(_xlpm.r,OR(_xlpm.r))),FALSE)</f>
        <v>1</v>
      </c>
      <c r="AF717" s="43" t="b" cm="1">
        <f t="array" ref="AF717">IFERROR(_xlfn.BYROW(TRACK_TYPES[[#This Row],[TRACK_TYPE_NARROW_GAUGE_RAILTYPE_OHLE]:[TRACK_TYPE_NARROW_GAUGE_RAILTYPE_NONE]],_xlfn.LAMBDA(_xlpm.r,OR(_xlpm.r))),FALSE)</f>
        <v>1</v>
      </c>
      <c r="AG717" s="43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235</v>
      </c>
      <c r="B718" s="45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43" t="b" cm="1">
        <f t="array" ref="AE718">IFERROR(_xlfn.BYROW(TRACK_TYPES[[#This Row],[TRACK_TYPE_STANDARD_GAUGE_RAILTYPE_OHLE]:[TRACK_TYPE_STANDARD_GAUGE_RAILTYPE_NONE]],_xlfn.LAMBDA(_xlpm.r,OR(_xlpm.r))),FALSE)</f>
        <v>1</v>
      </c>
      <c r="AF718" s="43" t="b" cm="1">
        <f t="array" ref="AF718">IFERROR(_xlfn.BYROW(TRACK_TYPES[[#This Row],[TRACK_TYPE_NARROW_GAUGE_RAILTYPE_OHLE]:[TRACK_TYPE_NARROW_GAUGE_RAILTYPE_NONE]],_xlfn.LAMBDA(_xlpm.r,OR(_xlpm.r))),FALSE)</f>
        <v>1</v>
      </c>
      <c r="AG718" s="43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5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43" t="b" cm="1">
        <f t="array" ref="AE719">IFERROR(_xlfn.BYROW(TRACK_TYPES[[#This Row],[TRACK_TYPE_STANDARD_GAUGE_RAILTYPE_OHLE]:[TRACK_TYPE_STANDARD_GAUGE_RAILTYPE_NONE]],_xlfn.LAMBDA(_xlpm.r,OR(_xlpm.r))),FALSE)</f>
        <v>1</v>
      </c>
      <c r="AF719" s="43" t="b" cm="1">
        <f t="array" ref="AF719">IFERROR(_xlfn.BYROW(TRACK_TYPES[[#This Row],[TRACK_TYPE_NARROW_GAUGE_RAILTYPE_OHLE]:[TRACK_TYPE_NARROW_GAUGE_RAILTYPE_NONE]],_xlfn.LAMBDA(_xlpm.r,OR(_xlpm.r))),FALSE)</f>
        <v>1</v>
      </c>
      <c r="AG719" s="43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5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43" t="b" cm="1">
        <f t="array" ref="AE720">IFERROR(_xlfn.BYROW(TRACK_TYPES[[#This Row],[TRACK_TYPE_STANDARD_GAUGE_RAILTYPE_OHLE]:[TRACK_TYPE_STANDARD_GAUGE_RAILTYPE_NONE]],_xlfn.LAMBDA(_xlpm.r,OR(_xlpm.r))),FALSE)</f>
        <v>1</v>
      </c>
      <c r="AF720" s="43" t="b" cm="1">
        <f t="array" ref="AF720">IFERROR(_xlfn.BYROW(TRACK_TYPES[[#This Row],[TRACK_TYPE_NARROW_GAUGE_RAILTYPE_OHLE]:[TRACK_TYPE_NARROW_GAUGE_RAILTYPE_NONE]],_xlfn.LAMBDA(_xlpm.r,OR(_xlpm.r))),FALSE)</f>
        <v>1</v>
      </c>
      <c r="AG720" s="43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5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43" t="b" cm="1">
        <f t="array" ref="AE721">IFERROR(_xlfn.BYROW(TRACK_TYPES[[#This Row],[TRACK_TYPE_STANDARD_GAUGE_RAILTYPE_OHLE]:[TRACK_TYPE_STANDARD_GAUGE_RAILTYPE_NONE]],_xlfn.LAMBDA(_xlpm.r,OR(_xlpm.r))),FALSE)</f>
        <v>1</v>
      </c>
      <c r="AF721" s="43" t="b" cm="1">
        <f t="array" ref="AF721">IFERROR(_xlfn.BYROW(TRACK_TYPES[[#This Row],[TRACK_TYPE_NARROW_GAUGE_RAILTYPE_OHLE]:[TRACK_TYPE_NARROW_GAUGE_RAILTYPE_NONE]],_xlfn.LAMBDA(_xlpm.r,OR(_xlpm.r))),FALSE)</f>
        <v>1</v>
      </c>
      <c r="AG721" s="43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5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43" t="b" cm="1">
        <f t="array" ref="AE722">IFERROR(_xlfn.BYROW(TRACK_TYPES[[#This Row],[TRACK_TYPE_STANDARD_GAUGE_RAILTYPE_OHLE]:[TRACK_TYPE_STANDARD_GAUGE_RAILTYPE_NONE]],_xlfn.LAMBDA(_xlpm.r,OR(_xlpm.r))),FALSE)</f>
        <v>1</v>
      </c>
      <c r="AF722" s="43" t="b" cm="1">
        <f t="array" ref="AF722">IFERROR(_xlfn.BYROW(TRACK_TYPES[[#This Row],[TRACK_TYPE_NARROW_GAUGE_RAILTYPE_OHLE]:[TRACK_TYPE_NARROW_GAUGE_RAILTYPE_NONE]],_xlfn.LAMBDA(_xlpm.r,OR(_xlpm.r))),FALSE)</f>
        <v>1</v>
      </c>
      <c r="AG722" s="43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5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43" t="b" cm="1">
        <f t="array" ref="AE723">IFERROR(_xlfn.BYROW(TRACK_TYPES[[#This Row],[TRACK_TYPE_STANDARD_GAUGE_RAILTYPE_OHLE]:[TRACK_TYPE_STANDARD_GAUGE_RAILTYPE_NONE]],_xlfn.LAMBDA(_xlpm.r,OR(_xlpm.r))),FALSE)</f>
        <v>1</v>
      </c>
      <c r="AF723" s="43" t="b" cm="1">
        <f t="array" ref="AF723">IFERROR(_xlfn.BYROW(TRACK_TYPES[[#This Row],[TRACK_TYPE_NARROW_GAUGE_RAILTYPE_OHLE]:[TRACK_TYPE_NARROW_GAUGE_RAILTYPE_NONE]],_xlfn.LAMBDA(_xlpm.r,OR(_xlpm.r))),FALSE)</f>
        <v>1</v>
      </c>
      <c r="AG723" s="43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5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43" t="b" cm="1">
        <f t="array" ref="AE724">IFERROR(_xlfn.BYROW(TRACK_TYPES[[#This Row],[TRACK_TYPE_STANDARD_GAUGE_RAILTYPE_OHLE]:[TRACK_TYPE_STANDARD_GAUGE_RAILTYPE_NONE]],_xlfn.LAMBDA(_xlpm.r,OR(_xlpm.r))),FALSE)</f>
        <v>1</v>
      </c>
      <c r="AF724" s="43" t="b" cm="1">
        <f t="array" ref="AF724">IFERROR(_xlfn.BYROW(TRACK_TYPES[[#This Row],[TRACK_TYPE_NARROW_GAUGE_RAILTYPE_OHLE]:[TRACK_TYPE_NARROW_GAUGE_RAILTYPE_NONE]],_xlfn.LAMBDA(_xlpm.r,OR(_xlpm.r))),FALSE)</f>
        <v>1</v>
      </c>
      <c r="AG724" s="43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5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43" t="b" cm="1">
        <f t="array" ref="AE725">IFERROR(_xlfn.BYROW(TRACK_TYPES[[#This Row],[TRACK_TYPE_STANDARD_GAUGE_RAILTYPE_OHLE]:[TRACK_TYPE_STANDARD_GAUGE_RAILTYPE_NONE]],_xlfn.LAMBDA(_xlpm.r,OR(_xlpm.r))),FALSE)</f>
        <v>1</v>
      </c>
      <c r="AF725" s="43" t="b" cm="1">
        <f t="array" ref="AF725">IFERROR(_xlfn.BYROW(TRACK_TYPES[[#This Row],[TRACK_TYPE_NARROW_GAUGE_RAILTYPE_OHLE]:[TRACK_TYPE_NARROW_GAUGE_RAILTYPE_NONE]],_xlfn.LAMBDA(_xlpm.r,OR(_xlpm.r))),FALSE)</f>
        <v>1</v>
      </c>
      <c r="AG725" s="43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5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43" t="b" cm="1">
        <f t="array" ref="AE726">IFERROR(_xlfn.BYROW(TRACK_TYPES[[#This Row],[TRACK_TYPE_STANDARD_GAUGE_RAILTYPE_OHLE]:[TRACK_TYPE_STANDARD_GAUGE_RAILTYPE_NONE]],_xlfn.LAMBDA(_xlpm.r,OR(_xlpm.r))),FALSE)</f>
        <v>1</v>
      </c>
      <c r="AF726" s="43" t="b" cm="1">
        <f t="array" ref="AF726">IFERROR(_xlfn.BYROW(TRACK_TYPES[[#This Row],[TRACK_TYPE_NARROW_GAUGE_RAILTYPE_OHLE]:[TRACK_TYPE_NARROW_GAUGE_RAILTYPE_NONE]],_xlfn.LAMBDA(_xlpm.r,OR(_xlpm.r))),FALSE)</f>
        <v>1</v>
      </c>
      <c r="AG726" s="43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5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43" t="b" cm="1">
        <f t="array" ref="AE727">IFERROR(_xlfn.BYROW(TRACK_TYPES[[#This Row],[TRACK_TYPE_STANDARD_GAUGE_RAILTYPE_OHLE]:[TRACK_TYPE_STANDARD_GAUGE_RAILTYPE_NONE]],_xlfn.LAMBDA(_xlpm.r,OR(_xlpm.r))),FALSE)</f>
        <v>1</v>
      </c>
      <c r="AF727" s="43" t="b" cm="1">
        <f t="array" ref="AF727">IFERROR(_xlfn.BYROW(TRACK_TYPES[[#This Row],[TRACK_TYPE_NARROW_GAUGE_RAILTYPE_OHLE]:[TRACK_TYPE_NARROW_GAUGE_RAILTYPE_NONE]],_xlfn.LAMBDA(_xlpm.r,OR(_xlpm.r))),FALSE)</f>
        <v>1</v>
      </c>
      <c r="AG727" s="43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5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43" t="b" cm="1">
        <f t="array" ref="AE728">IFERROR(_xlfn.BYROW(TRACK_TYPES[[#This Row],[TRACK_TYPE_STANDARD_GAUGE_RAILTYPE_OHLE]:[TRACK_TYPE_STANDARD_GAUGE_RAILTYPE_NONE]],_xlfn.LAMBDA(_xlpm.r,OR(_xlpm.r))),FALSE)</f>
        <v>1</v>
      </c>
      <c r="AF728" s="43" t="b" cm="1">
        <f t="array" ref="AF728">IFERROR(_xlfn.BYROW(TRACK_TYPES[[#This Row],[TRACK_TYPE_NARROW_GAUGE_RAILTYPE_OHLE]:[TRACK_TYPE_NARROW_GAUGE_RAILTYPE_NONE]],_xlfn.LAMBDA(_xlpm.r,OR(_xlpm.r))),FALSE)</f>
        <v>1</v>
      </c>
      <c r="AG728" s="43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5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43" t="b" cm="1">
        <f t="array" ref="AE729">IFERROR(_xlfn.BYROW(TRACK_TYPES[[#This Row],[TRACK_TYPE_STANDARD_GAUGE_RAILTYPE_OHLE]:[TRACK_TYPE_STANDARD_GAUGE_RAILTYPE_NONE]],_xlfn.LAMBDA(_xlpm.r,OR(_xlpm.r))),FALSE)</f>
        <v>1</v>
      </c>
      <c r="AF729" s="43" t="b" cm="1">
        <f t="array" ref="AF729">IFERROR(_xlfn.BYROW(TRACK_TYPES[[#This Row],[TRACK_TYPE_NARROW_GAUGE_RAILTYPE_OHLE]:[TRACK_TYPE_NARROW_GAUGE_RAILTYPE_NONE]],_xlfn.LAMBDA(_xlpm.r,OR(_xlpm.r))),FALSE)</f>
        <v>1</v>
      </c>
      <c r="AG729" s="43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5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43" t="b" cm="1">
        <f t="array" ref="AE730">IFERROR(_xlfn.BYROW(TRACK_TYPES[[#This Row],[TRACK_TYPE_STANDARD_GAUGE_RAILTYPE_OHLE]:[TRACK_TYPE_STANDARD_GAUGE_RAILTYPE_NONE]],_xlfn.LAMBDA(_xlpm.r,OR(_xlpm.r))),FALSE)</f>
        <v>1</v>
      </c>
      <c r="AF730" s="43" t="b" cm="1">
        <f t="array" ref="AF730">IFERROR(_xlfn.BYROW(TRACK_TYPES[[#This Row],[TRACK_TYPE_NARROW_GAUGE_RAILTYPE_OHLE]:[TRACK_TYPE_NARROW_GAUGE_RAILTYPE_NONE]],_xlfn.LAMBDA(_xlpm.r,OR(_xlpm.r))),FALSE)</f>
        <v>1</v>
      </c>
      <c r="AG730" s="43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5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43" t="b" cm="1">
        <f t="array" ref="AE731">IFERROR(_xlfn.BYROW(TRACK_TYPES[[#This Row],[TRACK_TYPE_STANDARD_GAUGE_RAILTYPE_OHLE]:[TRACK_TYPE_STANDARD_GAUGE_RAILTYPE_NONE]],_xlfn.LAMBDA(_xlpm.r,OR(_xlpm.r))),FALSE)</f>
        <v>1</v>
      </c>
      <c r="AF731" s="43" t="b" cm="1">
        <f t="array" ref="AF731">IFERROR(_xlfn.BYROW(TRACK_TYPES[[#This Row],[TRACK_TYPE_NARROW_GAUGE_RAILTYPE_OHLE]:[TRACK_TYPE_NARROW_GAUGE_RAILTYPE_NONE]],_xlfn.LAMBDA(_xlpm.r,OR(_xlpm.r))),FALSE)</f>
        <v>1</v>
      </c>
      <c r="AG731" s="43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5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43" t="b" cm="1">
        <f t="array" ref="AE732">IFERROR(_xlfn.BYROW(TRACK_TYPES[[#This Row],[TRACK_TYPE_STANDARD_GAUGE_RAILTYPE_OHLE]:[TRACK_TYPE_STANDARD_GAUGE_RAILTYPE_NONE]],_xlfn.LAMBDA(_xlpm.r,OR(_xlpm.r))),FALSE)</f>
        <v>1</v>
      </c>
      <c r="AF732" s="43" t="b" cm="1">
        <f t="array" ref="AF732">IFERROR(_xlfn.BYROW(TRACK_TYPES[[#This Row],[TRACK_TYPE_NARROW_GAUGE_RAILTYPE_OHLE]:[TRACK_TYPE_NARROW_GAUGE_RAILTYPE_NONE]],_xlfn.LAMBDA(_xlpm.r,OR(_xlpm.r))),FALSE)</f>
        <v>1</v>
      </c>
      <c r="AG732" s="43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5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43" t="b" cm="1">
        <f t="array" ref="AE733">IFERROR(_xlfn.BYROW(TRACK_TYPES[[#This Row],[TRACK_TYPE_STANDARD_GAUGE_RAILTYPE_OHLE]:[TRACK_TYPE_STANDARD_GAUGE_RAILTYPE_NONE]],_xlfn.LAMBDA(_xlpm.r,OR(_xlpm.r))),FALSE)</f>
        <v>1</v>
      </c>
      <c r="AF733" s="43" t="b" cm="1">
        <f t="array" ref="AF733">IFERROR(_xlfn.BYROW(TRACK_TYPES[[#This Row],[TRACK_TYPE_NARROW_GAUGE_RAILTYPE_OHLE]:[TRACK_TYPE_NARROW_GAUGE_RAILTYPE_NONE]],_xlfn.LAMBDA(_xlpm.r,OR(_xlpm.r))),FALSE)</f>
        <v>1</v>
      </c>
      <c r="AG733" s="43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5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43" t="b" cm="1">
        <f t="array" ref="AE734">IFERROR(_xlfn.BYROW(TRACK_TYPES[[#This Row],[TRACK_TYPE_STANDARD_GAUGE_RAILTYPE_OHLE]:[TRACK_TYPE_STANDARD_GAUGE_RAILTYPE_NONE]],_xlfn.LAMBDA(_xlpm.r,OR(_xlpm.r))),FALSE)</f>
        <v>1</v>
      </c>
      <c r="AF734" s="43" t="b" cm="1">
        <f t="array" ref="AF734">IFERROR(_xlfn.BYROW(TRACK_TYPES[[#This Row],[TRACK_TYPE_NARROW_GAUGE_RAILTYPE_OHLE]:[TRACK_TYPE_NARROW_GAUGE_RAILTYPE_NONE]],_xlfn.LAMBDA(_xlpm.r,OR(_xlpm.r))),FALSE)</f>
        <v>1</v>
      </c>
      <c r="AG734" s="43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5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43" t="b" cm="1">
        <f t="array" ref="AE735">IFERROR(_xlfn.BYROW(TRACK_TYPES[[#This Row],[TRACK_TYPE_STANDARD_GAUGE_RAILTYPE_OHLE]:[TRACK_TYPE_STANDARD_GAUGE_RAILTYPE_NONE]],_xlfn.LAMBDA(_xlpm.r,OR(_xlpm.r))),FALSE)</f>
        <v>1</v>
      </c>
      <c r="AF735" s="43" t="b" cm="1">
        <f t="array" ref="AF735">IFERROR(_xlfn.BYROW(TRACK_TYPES[[#This Row],[TRACK_TYPE_NARROW_GAUGE_RAILTYPE_OHLE]:[TRACK_TYPE_NARROW_GAUGE_RAILTYPE_NONE]],_xlfn.LAMBDA(_xlpm.r,OR(_xlpm.r))),FALSE)</f>
        <v>1</v>
      </c>
      <c r="AG735" s="43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5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43" t="b" cm="1">
        <f t="array" ref="AE736">IFERROR(_xlfn.BYROW(TRACK_TYPES[[#This Row],[TRACK_TYPE_STANDARD_GAUGE_RAILTYPE_OHLE]:[TRACK_TYPE_STANDARD_GAUGE_RAILTYPE_NONE]],_xlfn.LAMBDA(_xlpm.r,OR(_xlpm.r))),FALSE)</f>
        <v>1</v>
      </c>
      <c r="AF736" s="43" t="b" cm="1">
        <f t="array" ref="AF736">IFERROR(_xlfn.BYROW(TRACK_TYPES[[#This Row],[TRACK_TYPE_NARROW_GAUGE_RAILTYPE_OHLE]:[TRACK_TYPE_NARROW_GAUGE_RAILTYPE_NONE]],_xlfn.LAMBDA(_xlpm.r,OR(_xlpm.r))),FALSE)</f>
        <v>1</v>
      </c>
      <c r="AG736" s="43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5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43" t="b" cm="1">
        <f t="array" ref="AE737">IFERROR(_xlfn.BYROW(TRACK_TYPES[[#This Row],[TRACK_TYPE_STANDARD_GAUGE_RAILTYPE_OHLE]:[TRACK_TYPE_STANDARD_GAUGE_RAILTYPE_NONE]],_xlfn.LAMBDA(_xlpm.r,OR(_xlpm.r))),FALSE)</f>
        <v>1</v>
      </c>
      <c r="AF737" s="43" t="b" cm="1">
        <f t="array" ref="AF737">IFERROR(_xlfn.BYROW(TRACK_TYPES[[#This Row],[TRACK_TYPE_NARROW_GAUGE_RAILTYPE_OHLE]:[TRACK_TYPE_NARROW_GAUGE_RAILTYPE_NONE]],_xlfn.LAMBDA(_xlpm.r,OR(_xlpm.r))),FALSE)</f>
        <v>1</v>
      </c>
      <c r="AG737" s="43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5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43" t="b" cm="1">
        <f t="array" ref="AE738">IFERROR(_xlfn.BYROW(TRACK_TYPES[[#This Row],[TRACK_TYPE_STANDARD_GAUGE_RAILTYPE_OHLE]:[TRACK_TYPE_STANDARD_GAUGE_RAILTYPE_NONE]],_xlfn.LAMBDA(_xlpm.r,OR(_xlpm.r))),FALSE)</f>
        <v>1</v>
      </c>
      <c r="AF738" s="43" t="b" cm="1">
        <f t="array" ref="AF738">IFERROR(_xlfn.BYROW(TRACK_TYPES[[#This Row],[TRACK_TYPE_NARROW_GAUGE_RAILTYPE_OHLE]:[TRACK_TYPE_NARROW_GAUGE_RAILTYPE_NONE]],_xlfn.LAMBDA(_xlpm.r,OR(_xlpm.r))),FALSE)</f>
        <v>1</v>
      </c>
      <c r="AG738" s="43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5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43" t="b" cm="1">
        <f t="array" ref="AE739">IFERROR(_xlfn.BYROW(TRACK_TYPES[[#This Row],[TRACK_TYPE_STANDARD_GAUGE_RAILTYPE_OHLE]:[TRACK_TYPE_STANDARD_GAUGE_RAILTYPE_NONE]],_xlfn.LAMBDA(_xlpm.r,OR(_xlpm.r))),FALSE)</f>
        <v>1</v>
      </c>
      <c r="AF739" s="43" t="b" cm="1">
        <f t="array" ref="AF739">IFERROR(_xlfn.BYROW(TRACK_TYPES[[#This Row],[TRACK_TYPE_NARROW_GAUGE_RAILTYPE_OHLE]:[TRACK_TYPE_NARROW_GAUGE_RAILTYPE_NONE]],_xlfn.LAMBDA(_xlpm.r,OR(_xlpm.r))),FALSE)</f>
        <v>1</v>
      </c>
      <c r="AG739" s="43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5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43" t="b" cm="1">
        <f t="array" ref="AE740">IFERROR(_xlfn.BYROW(TRACK_TYPES[[#This Row],[TRACK_TYPE_STANDARD_GAUGE_RAILTYPE_OHLE]:[TRACK_TYPE_STANDARD_GAUGE_RAILTYPE_NONE]],_xlfn.LAMBDA(_xlpm.r,OR(_xlpm.r))),FALSE)</f>
        <v>1</v>
      </c>
      <c r="AF740" s="43" t="b" cm="1">
        <f t="array" ref="AF740">IFERROR(_xlfn.BYROW(TRACK_TYPES[[#This Row],[TRACK_TYPE_NARROW_GAUGE_RAILTYPE_OHLE]:[TRACK_TYPE_NARROW_GAUGE_RAILTYPE_NONE]],_xlfn.LAMBDA(_xlpm.r,OR(_xlpm.r))),FALSE)</f>
        <v>1</v>
      </c>
      <c r="AG740" s="43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5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43" t="b" cm="1">
        <f t="array" ref="AE741">IFERROR(_xlfn.BYROW(TRACK_TYPES[[#This Row],[TRACK_TYPE_STANDARD_GAUGE_RAILTYPE_OHLE]:[TRACK_TYPE_STANDARD_GAUGE_RAILTYPE_NONE]],_xlfn.LAMBDA(_xlpm.r,OR(_xlpm.r))),FALSE)</f>
        <v>1</v>
      </c>
      <c r="AF741" s="43" t="b" cm="1">
        <f t="array" ref="AF741">IFERROR(_xlfn.BYROW(TRACK_TYPES[[#This Row],[TRACK_TYPE_NARROW_GAUGE_RAILTYPE_OHLE]:[TRACK_TYPE_NARROW_GAUGE_RAILTYPE_NONE]],_xlfn.LAMBDA(_xlpm.r,OR(_xlpm.r))),FALSE)</f>
        <v>1</v>
      </c>
      <c r="AG741" s="43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5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43" t="b" cm="1">
        <f t="array" ref="AE742">IFERROR(_xlfn.BYROW(TRACK_TYPES[[#This Row],[TRACK_TYPE_STANDARD_GAUGE_RAILTYPE_OHLE]:[TRACK_TYPE_STANDARD_GAUGE_RAILTYPE_NONE]],_xlfn.LAMBDA(_xlpm.r,OR(_xlpm.r))),FALSE)</f>
        <v>1</v>
      </c>
      <c r="AF742" s="43" t="b" cm="1">
        <f t="array" ref="AF742">IFERROR(_xlfn.BYROW(TRACK_TYPES[[#This Row],[TRACK_TYPE_NARROW_GAUGE_RAILTYPE_OHLE]:[TRACK_TYPE_NARROW_GAUGE_RAILTYPE_NONE]],_xlfn.LAMBDA(_xlpm.r,OR(_xlpm.r))),FALSE)</f>
        <v>1</v>
      </c>
      <c r="AG742" s="43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5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43" t="b" cm="1">
        <f t="array" ref="AE743">IFERROR(_xlfn.BYROW(TRACK_TYPES[[#This Row],[TRACK_TYPE_STANDARD_GAUGE_RAILTYPE_OHLE]:[TRACK_TYPE_STANDARD_GAUGE_RAILTYPE_NONE]],_xlfn.LAMBDA(_xlpm.r,OR(_xlpm.r))),FALSE)</f>
        <v>1</v>
      </c>
      <c r="AF743" s="43" t="b" cm="1">
        <f t="array" ref="AF743">IFERROR(_xlfn.BYROW(TRACK_TYPES[[#This Row],[TRACK_TYPE_NARROW_GAUGE_RAILTYPE_OHLE]:[TRACK_TYPE_NARROW_GAUGE_RAILTYPE_NONE]],_xlfn.LAMBDA(_xlpm.r,OR(_xlpm.r))),FALSE)</f>
        <v>1</v>
      </c>
      <c r="AG743" s="43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5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43" t="b" cm="1">
        <f t="array" ref="AE744">IFERROR(_xlfn.BYROW(TRACK_TYPES[[#This Row],[TRACK_TYPE_STANDARD_GAUGE_RAILTYPE_OHLE]:[TRACK_TYPE_STANDARD_GAUGE_RAILTYPE_NONE]],_xlfn.LAMBDA(_xlpm.r,OR(_xlpm.r))),FALSE)</f>
        <v>1</v>
      </c>
      <c r="AF744" s="43" t="b" cm="1">
        <f t="array" ref="AF744">IFERROR(_xlfn.BYROW(TRACK_TYPES[[#This Row],[TRACK_TYPE_NARROW_GAUGE_RAILTYPE_OHLE]:[TRACK_TYPE_NARROW_GAUGE_RAILTYPE_NONE]],_xlfn.LAMBDA(_xlpm.r,OR(_xlpm.r))),FALSE)</f>
        <v>1</v>
      </c>
      <c r="AG744" s="43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5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43" t="b" cm="1">
        <f t="array" ref="AE745">IFERROR(_xlfn.BYROW(TRACK_TYPES[[#This Row],[TRACK_TYPE_STANDARD_GAUGE_RAILTYPE_OHLE]:[TRACK_TYPE_STANDARD_GAUGE_RAILTYPE_NONE]],_xlfn.LAMBDA(_xlpm.r,OR(_xlpm.r))),FALSE)</f>
        <v>1</v>
      </c>
      <c r="AF745" s="43" t="b" cm="1">
        <f t="array" ref="AF745">IFERROR(_xlfn.BYROW(TRACK_TYPES[[#This Row],[TRACK_TYPE_NARROW_GAUGE_RAILTYPE_OHLE]:[TRACK_TYPE_NARROW_GAUGE_RAILTYPE_NONE]],_xlfn.LAMBDA(_xlpm.r,OR(_xlpm.r))),FALSE)</f>
        <v>1</v>
      </c>
      <c r="AG745" s="43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5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43" t="b" cm="1">
        <f t="array" ref="AE746">IFERROR(_xlfn.BYROW(TRACK_TYPES[[#This Row],[TRACK_TYPE_STANDARD_GAUGE_RAILTYPE_OHLE]:[TRACK_TYPE_STANDARD_GAUGE_RAILTYPE_NONE]],_xlfn.LAMBDA(_xlpm.r,OR(_xlpm.r))),FALSE)</f>
        <v>1</v>
      </c>
      <c r="AF746" s="43" t="b" cm="1">
        <f t="array" ref="AF746">IFERROR(_xlfn.BYROW(TRACK_TYPES[[#This Row],[TRACK_TYPE_NARROW_GAUGE_RAILTYPE_OHLE]:[TRACK_TYPE_NARROW_GAUGE_RAILTYPE_NONE]],_xlfn.LAMBDA(_xlpm.r,OR(_xlpm.r))),FALSE)</f>
        <v>1</v>
      </c>
      <c r="AG746" s="43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5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43" t="b" cm="1">
        <f t="array" ref="AE747">IFERROR(_xlfn.BYROW(TRACK_TYPES[[#This Row],[TRACK_TYPE_STANDARD_GAUGE_RAILTYPE_OHLE]:[TRACK_TYPE_STANDARD_GAUGE_RAILTYPE_NONE]],_xlfn.LAMBDA(_xlpm.r,OR(_xlpm.r))),FALSE)</f>
        <v>1</v>
      </c>
      <c r="AF747" s="43" t="b" cm="1">
        <f t="array" ref="AF747">IFERROR(_xlfn.BYROW(TRACK_TYPES[[#This Row],[TRACK_TYPE_NARROW_GAUGE_RAILTYPE_OHLE]:[TRACK_TYPE_NARROW_GAUGE_RAILTYPE_NONE]],_xlfn.LAMBDA(_xlpm.r,OR(_xlpm.r))),FALSE)</f>
        <v>1</v>
      </c>
      <c r="AG747" s="43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5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43" t="b" cm="1">
        <f t="array" ref="AE748">IFERROR(_xlfn.BYROW(TRACK_TYPES[[#This Row],[TRACK_TYPE_STANDARD_GAUGE_RAILTYPE_OHLE]:[TRACK_TYPE_STANDARD_GAUGE_RAILTYPE_NONE]],_xlfn.LAMBDA(_xlpm.r,OR(_xlpm.r))),FALSE)</f>
        <v>1</v>
      </c>
      <c r="AF748" s="43" t="b" cm="1">
        <f t="array" ref="AF748">IFERROR(_xlfn.BYROW(TRACK_TYPES[[#This Row],[TRACK_TYPE_NARROW_GAUGE_RAILTYPE_OHLE]:[TRACK_TYPE_NARROW_GAUGE_RAILTYPE_NONE]],_xlfn.LAMBDA(_xlpm.r,OR(_xlpm.r))),FALSE)</f>
        <v>1</v>
      </c>
      <c r="AG748" s="43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5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43" t="b" cm="1">
        <f t="array" ref="AE749">IFERROR(_xlfn.BYROW(TRACK_TYPES[[#This Row],[TRACK_TYPE_STANDARD_GAUGE_RAILTYPE_OHLE]:[TRACK_TYPE_STANDARD_GAUGE_RAILTYPE_NONE]],_xlfn.LAMBDA(_xlpm.r,OR(_xlpm.r))),FALSE)</f>
        <v>1</v>
      </c>
      <c r="AF749" s="43" t="b" cm="1">
        <f t="array" ref="AF749">IFERROR(_xlfn.BYROW(TRACK_TYPES[[#This Row],[TRACK_TYPE_NARROW_GAUGE_RAILTYPE_OHLE]:[TRACK_TYPE_NARROW_GAUGE_RAILTYPE_NONE]],_xlfn.LAMBDA(_xlpm.r,OR(_xlpm.r))),FALSE)</f>
        <v>1</v>
      </c>
      <c r="AG749" s="43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5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43" t="b" cm="1">
        <f t="array" ref="AE750">IFERROR(_xlfn.BYROW(TRACK_TYPES[[#This Row],[TRACK_TYPE_STANDARD_GAUGE_RAILTYPE_OHLE]:[TRACK_TYPE_STANDARD_GAUGE_RAILTYPE_NONE]],_xlfn.LAMBDA(_xlpm.r,OR(_xlpm.r))),FALSE)</f>
        <v>1</v>
      </c>
      <c r="AF750" s="43" t="b" cm="1">
        <f t="array" ref="AF750">IFERROR(_xlfn.BYROW(TRACK_TYPES[[#This Row],[TRACK_TYPE_NARROW_GAUGE_RAILTYPE_OHLE]:[TRACK_TYPE_NARROW_GAUGE_RAILTYPE_NONE]],_xlfn.LAMBDA(_xlpm.r,OR(_xlpm.r))),FALSE)</f>
        <v>1</v>
      </c>
      <c r="AG750" s="43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5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43" t="b" cm="1">
        <f t="array" ref="AE751">IFERROR(_xlfn.BYROW(TRACK_TYPES[[#This Row],[TRACK_TYPE_STANDARD_GAUGE_RAILTYPE_OHLE]:[TRACK_TYPE_STANDARD_GAUGE_RAILTYPE_NONE]],_xlfn.LAMBDA(_xlpm.r,OR(_xlpm.r))),FALSE)</f>
        <v>1</v>
      </c>
      <c r="AF751" s="43" t="b" cm="1">
        <f t="array" ref="AF751">IFERROR(_xlfn.BYROW(TRACK_TYPES[[#This Row],[TRACK_TYPE_NARROW_GAUGE_RAILTYPE_OHLE]:[TRACK_TYPE_NARROW_GAUGE_RAILTYPE_NONE]],_xlfn.LAMBDA(_xlpm.r,OR(_xlpm.r))),FALSE)</f>
        <v>1</v>
      </c>
      <c r="AG751" s="43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5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43" t="b" cm="1">
        <f t="array" ref="AE752">IFERROR(_xlfn.BYROW(TRACK_TYPES[[#This Row],[TRACK_TYPE_STANDARD_GAUGE_RAILTYPE_OHLE]:[TRACK_TYPE_STANDARD_GAUGE_RAILTYPE_NONE]],_xlfn.LAMBDA(_xlpm.r,OR(_xlpm.r))),FALSE)</f>
        <v>1</v>
      </c>
      <c r="AF752" s="43" t="b" cm="1">
        <f t="array" ref="AF752">IFERROR(_xlfn.BYROW(TRACK_TYPES[[#This Row],[TRACK_TYPE_NARROW_GAUGE_RAILTYPE_OHLE]:[TRACK_TYPE_NARROW_GAUGE_RAILTYPE_NONE]],_xlfn.LAMBDA(_xlpm.r,OR(_xlpm.r))),FALSE)</f>
        <v>1</v>
      </c>
      <c r="AG752" s="43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5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43" t="b" cm="1">
        <f t="array" ref="AE753">IFERROR(_xlfn.BYROW(TRACK_TYPES[[#This Row],[TRACK_TYPE_STANDARD_GAUGE_RAILTYPE_OHLE]:[TRACK_TYPE_STANDARD_GAUGE_RAILTYPE_NONE]],_xlfn.LAMBDA(_xlpm.r,OR(_xlpm.r))),FALSE)</f>
        <v>1</v>
      </c>
      <c r="AF753" s="43" t="b" cm="1">
        <f t="array" ref="AF753">IFERROR(_xlfn.BYROW(TRACK_TYPES[[#This Row],[TRACK_TYPE_NARROW_GAUGE_RAILTYPE_OHLE]:[TRACK_TYPE_NARROW_GAUGE_RAILTYPE_NONE]],_xlfn.LAMBDA(_xlpm.r,OR(_xlpm.r))),FALSE)</f>
        <v>1</v>
      </c>
      <c r="AG753" s="43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3687</v>
      </c>
      <c r="B754" s="45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43" t="b" cm="1">
        <f t="array" ref="AE754">IFERROR(_xlfn.BYROW(TRACK_TYPES[[#This Row],[TRACK_TYPE_STANDARD_GAUGE_RAILTYPE_OHLE]:[TRACK_TYPE_STANDARD_GAUGE_RAILTYPE_NONE]],_xlfn.LAMBDA(_xlpm.r,OR(_xlpm.r))),FALSE)</f>
        <v>1</v>
      </c>
      <c r="AF754" s="43" t="b" cm="1">
        <f t="array" ref="AF754">IFERROR(_xlfn.BYROW(TRACK_TYPES[[#This Row],[TRACK_TYPE_NARROW_GAUGE_RAILTYPE_OHLE]:[TRACK_TYPE_NARROW_GAUGE_RAILTYPE_NONE]],_xlfn.LAMBDA(_xlpm.r,OR(_xlpm.r))),FALSE)</f>
        <v>1</v>
      </c>
      <c r="AG754" s="43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127</v>
      </c>
      <c r="B755" s="45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43" t="b" cm="1">
        <f t="array" ref="AE755">IFERROR(_xlfn.BYROW(TRACK_TYPES[[#This Row],[TRACK_TYPE_STANDARD_GAUGE_RAILTYPE_OHLE]:[TRACK_TYPE_STANDARD_GAUGE_RAILTYPE_NONE]],_xlfn.LAMBDA(_xlpm.r,OR(_xlpm.r))),FALSE)</f>
        <v>1</v>
      </c>
      <c r="AF755" s="43" t="b" cm="1">
        <f t="array" ref="AF755">IFERROR(_xlfn.BYROW(TRACK_TYPES[[#This Row],[TRACK_TYPE_NARROW_GAUGE_RAILTYPE_OHLE]:[TRACK_TYPE_NARROW_GAUGE_RAILTYPE_NONE]],_xlfn.LAMBDA(_xlpm.r,OR(_xlpm.r))),FALSE)</f>
        <v>1</v>
      </c>
      <c r="AG755" s="43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128</v>
      </c>
      <c r="B756" s="45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43" t="b" cm="1">
        <f t="array" ref="AE756">IFERROR(_xlfn.BYROW(TRACK_TYPES[[#This Row],[TRACK_TYPE_STANDARD_GAUGE_RAILTYPE_OHLE]:[TRACK_TYPE_STANDARD_GAUGE_RAILTYPE_NONE]],_xlfn.LAMBDA(_xlpm.r,OR(_xlpm.r))),FALSE)</f>
        <v>0</v>
      </c>
      <c r="AF756" s="43" t="b" cm="1">
        <f t="array" ref="AF756">IFERROR(_xlfn.BYROW(TRACK_TYPES[[#This Row],[TRACK_TYPE_NARROW_GAUGE_RAILTYPE_OHLE]:[TRACK_TYPE_NARROW_GAUGE_RAILTYPE_NONE]],_xlfn.LAMBDA(_xlpm.r,OR(_xlpm.r))),FALSE)</f>
        <v>0</v>
      </c>
      <c r="AG756" s="43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129</v>
      </c>
      <c r="B757" s="45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43" t="b" cm="1">
        <f t="array" ref="AE757">IFERROR(_xlfn.BYROW(TRACK_TYPES[[#This Row],[TRACK_TYPE_STANDARD_GAUGE_RAILTYPE_OHLE]:[TRACK_TYPE_STANDARD_GAUGE_RAILTYPE_NONE]],_xlfn.LAMBDA(_xlpm.r,OR(_xlpm.r))),FALSE)</f>
        <v>0</v>
      </c>
      <c r="AF757" s="43" t="b" cm="1">
        <f t="array" ref="AF757">IFERROR(_xlfn.BYROW(TRACK_TYPES[[#This Row],[TRACK_TYPE_NARROW_GAUGE_RAILTYPE_OHLE]:[TRACK_TYPE_NARROW_GAUGE_RAILTYPE_NONE]],_xlfn.LAMBDA(_xlpm.r,OR(_xlpm.r))),FALSE)</f>
        <v>0</v>
      </c>
      <c r="AG757" s="43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130</v>
      </c>
      <c r="B758" s="45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43" t="b" cm="1">
        <f t="array" ref="AE758">IFERROR(_xlfn.BYROW(TRACK_TYPES[[#This Row],[TRACK_TYPE_STANDARD_GAUGE_RAILTYPE_OHLE]:[TRACK_TYPE_STANDARD_GAUGE_RAILTYPE_NONE]],_xlfn.LAMBDA(_xlpm.r,OR(_xlpm.r))),FALSE)</f>
        <v>0</v>
      </c>
      <c r="AF758" s="43" t="b" cm="1">
        <f t="array" ref="AF758">IFERROR(_xlfn.BYROW(TRACK_TYPES[[#This Row],[TRACK_TYPE_NARROW_GAUGE_RAILTYPE_OHLE]:[TRACK_TYPE_NARROW_GAUGE_RAILTYPE_NONE]],_xlfn.LAMBDA(_xlpm.r,OR(_xlpm.r))),FALSE)</f>
        <v>0</v>
      </c>
      <c r="AG758" s="43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131</v>
      </c>
      <c r="B759" s="45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43" t="b" cm="1">
        <f t="array" ref="AE759">IFERROR(_xlfn.BYROW(TRACK_TYPES[[#This Row],[TRACK_TYPE_STANDARD_GAUGE_RAILTYPE_OHLE]:[TRACK_TYPE_STANDARD_GAUGE_RAILTYPE_NONE]],_xlfn.LAMBDA(_xlpm.r,OR(_xlpm.r))),FALSE)</f>
        <v>0</v>
      </c>
      <c r="AF759" s="43" t="b" cm="1">
        <f t="array" ref="AF759">IFERROR(_xlfn.BYROW(TRACK_TYPES[[#This Row],[TRACK_TYPE_NARROW_GAUGE_RAILTYPE_OHLE]:[TRACK_TYPE_NARROW_GAUGE_RAILTYPE_NONE]],_xlfn.LAMBDA(_xlpm.r,OR(_xlpm.r))),FALSE)</f>
        <v>0</v>
      </c>
      <c r="AG759" s="43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132</v>
      </c>
      <c r="B760" s="45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43" t="b" cm="1">
        <f t="array" ref="AE760">IFERROR(_xlfn.BYROW(TRACK_TYPES[[#This Row],[TRACK_TYPE_STANDARD_GAUGE_RAILTYPE_OHLE]:[TRACK_TYPE_STANDARD_GAUGE_RAILTYPE_NONE]],_xlfn.LAMBDA(_xlpm.r,OR(_xlpm.r))),FALSE)</f>
        <v>1</v>
      </c>
      <c r="AF760" s="43" t="b" cm="1">
        <f t="array" ref="AF760">IFERROR(_xlfn.BYROW(TRACK_TYPES[[#This Row],[TRACK_TYPE_NARROW_GAUGE_RAILTYPE_OHLE]:[TRACK_TYPE_NARROW_GAUGE_RAILTYPE_NONE]],_xlfn.LAMBDA(_xlpm.r,OR(_xlpm.r))),FALSE)</f>
        <v>1</v>
      </c>
      <c r="AG760" s="43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133</v>
      </c>
      <c r="B761" s="45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43" t="b" cm="1">
        <f t="array" ref="AE761">IFERROR(_xlfn.BYROW(TRACK_TYPES[[#This Row],[TRACK_TYPE_STANDARD_GAUGE_RAILTYPE_OHLE]:[TRACK_TYPE_STANDARD_GAUGE_RAILTYPE_NONE]],_xlfn.LAMBDA(_xlpm.r,OR(_xlpm.r))),FALSE)</f>
        <v>1</v>
      </c>
      <c r="AF761" s="43" t="b" cm="1">
        <f t="array" ref="AF761">IFERROR(_xlfn.BYROW(TRACK_TYPES[[#This Row],[TRACK_TYPE_NARROW_GAUGE_RAILTYPE_OHLE]:[TRACK_TYPE_NARROW_GAUGE_RAILTYPE_NONE]],_xlfn.LAMBDA(_xlpm.r,OR(_xlpm.r))),FALSE)</f>
        <v>1</v>
      </c>
      <c r="AG761" s="43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134</v>
      </c>
      <c r="B762" s="45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43" t="b" cm="1">
        <f t="array" ref="AE762">IFERROR(_xlfn.BYROW(TRACK_TYPES[[#This Row],[TRACK_TYPE_STANDARD_GAUGE_RAILTYPE_OHLE]:[TRACK_TYPE_STANDARD_GAUGE_RAILTYPE_NONE]],_xlfn.LAMBDA(_xlpm.r,OR(_xlpm.r))),FALSE)</f>
        <v>1</v>
      </c>
      <c r="AF762" s="43" t="b" cm="1">
        <f t="array" ref="AF762">IFERROR(_xlfn.BYROW(TRACK_TYPES[[#This Row],[TRACK_TYPE_NARROW_GAUGE_RAILTYPE_OHLE]:[TRACK_TYPE_NARROW_GAUGE_RAILTYPE_NONE]],_xlfn.LAMBDA(_xlpm.r,OR(_xlpm.r))),FALSE)</f>
        <v>1</v>
      </c>
      <c r="AG762" s="43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135</v>
      </c>
      <c r="B763" s="45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43" t="b" cm="1">
        <f t="array" ref="AE763">IFERROR(_xlfn.BYROW(TRACK_TYPES[[#This Row],[TRACK_TYPE_STANDARD_GAUGE_RAILTYPE_OHLE]:[TRACK_TYPE_STANDARD_GAUGE_RAILTYPE_NONE]],_xlfn.LAMBDA(_xlpm.r,OR(_xlpm.r))),FALSE)</f>
        <v>1</v>
      </c>
      <c r="AF763" s="43" t="b" cm="1">
        <f t="array" ref="AF763">IFERROR(_xlfn.BYROW(TRACK_TYPES[[#This Row],[TRACK_TYPE_NARROW_GAUGE_RAILTYPE_OHLE]:[TRACK_TYPE_NARROW_GAUGE_RAILTYPE_NONE]],_xlfn.LAMBDA(_xlpm.r,OR(_xlpm.r))),FALSE)</f>
        <v>1</v>
      </c>
      <c r="AG763" s="43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136</v>
      </c>
      <c r="B764" s="45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43" t="b" cm="1">
        <f t="array" ref="AE764">IFERROR(_xlfn.BYROW(TRACK_TYPES[[#This Row],[TRACK_TYPE_STANDARD_GAUGE_RAILTYPE_OHLE]:[TRACK_TYPE_STANDARD_GAUGE_RAILTYPE_NONE]],_xlfn.LAMBDA(_xlpm.r,OR(_xlpm.r))),FALSE)</f>
        <v>1</v>
      </c>
      <c r="AF764" s="43" t="b" cm="1">
        <f t="array" ref="AF764">IFERROR(_xlfn.BYROW(TRACK_TYPES[[#This Row],[TRACK_TYPE_NARROW_GAUGE_RAILTYPE_OHLE]:[TRACK_TYPE_NARROW_GAUGE_RAILTYPE_NONE]],_xlfn.LAMBDA(_xlpm.r,OR(_xlpm.r))),FALSE)</f>
        <v>1</v>
      </c>
      <c r="AG764" s="43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137</v>
      </c>
      <c r="B765" s="45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43" t="b" cm="1">
        <f t="array" ref="AE765">IFERROR(_xlfn.BYROW(TRACK_TYPES[[#This Row],[TRACK_TYPE_STANDARD_GAUGE_RAILTYPE_OHLE]:[TRACK_TYPE_STANDARD_GAUGE_RAILTYPE_NONE]],_xlfn.LAMBDA(_xlpm.r,OR(_xlpm.r))),FALSE)</f>
        <v>0</v>
      </c>
      <c r="AF765" s="43" t="b" cm="1">
        <f t="array" ref="AF765">IFERROR(_xlfn.BYROW(TRACK_TYPES[[#This Row],[TRACK_TYPE_NARROW_GAUGE_RAILTYPE_OHLE]:[TRACK_TYPE_NARROW_GAUGE_RAILTYPE_NONE]],_xlfn.LAMBDA(_xlpm.r,OR(_xlpm.r))),FALSE)</f>
        <v>0</v>
      </c>
      <c r="AG765" s="43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138</v>
      </c>
      <c r="B766" s="45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43" t="b" cm="1">
        <f t="array" ref="AE766">IFERROR(_xlfn.BYROW(TRACK_TYPES[[#This Row],[TRACK_TYPE_STANDARD_GAUGE_RAILTYPE_OHLE]:[TRACK_TYPE_STANDARD_GAUGE_RAILTYPE_NONE]],_xlfn.LAMBDA(_xlpm.r,OR(_xlpm.r))),FALSE)</f>
        <v>0</v>
      </c>
      <c r="AF766" s="43" t="b" cm="1">
        <f t="array" ref="AF766">IFERROR(_xlfn.BYROW(TRACK_TYPES[[#This Row],[TRACK_TYPE_NARROW_GAUGE_RAILTYPE_OHLE]:[TRACK_TYPE_NARROW_GAUGE_RAILTYPE_NONE]],_xlfn.LAMBDA(_xlpm.r,OR(_xlpm.r))),FALSE)</f>
        <v>0</v>
      </c>
      <c r="AG766" s="43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139</v>
      </c>
      <c r="B767" s="45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43" t="b" cm="1">
        <f t="array" ref="AE767">IFERROR(_xlfn.BYROW(TRACK_TYPES[[#This Row],[TRACK_TYPE_STANDARD_GAUGE_RAILTYPE_OHLE]:[TRACK_TYPE_STANDARD_GAUGE_RAILTYPE_NONE]],_xlfn.LAMBDA(_xlpm.r,OR(_xlpm.r))),FALSE)</f>
        <v>0</v>
      </c>
      <c r="AF767" s="43" t="b" cm="1">
        <f t="array" ref="AF767">IFERROR(_xlfn.BYROW(TRACK_TYPES[[#This Row],[TRACK_TYPE_NARROW_GAUGE_RAILTYPE_OHLE]:[TRACK_TYPE_NARROW_GAUGE_RAILTYPE_NONE]],_xlfn.LAMBDA(_xlpm.r,OR(_xlpm.r))),FALSE)</f>
        <v>0</v>
      </c>
      <c r="AG767" s="43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140</v>
      </c>
      <c r="B768" s="45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43" t="b" cm="1">
        <f t="array" ref="AE768">IFERROR(_xlfn.BYROW(TRACK_TYPES[[#This Row],[TRACK_TYPE_STANDARD_GAUGE_RAILTYPE_OHLE]:[TRACK_TYPE_STANDARD_GAUGE_RAILTYPE_NONE]],_xlfn.LAMBDA(_xlpm.r,OR(_xlpm.r))),FALSE)</f>
        <v>1</v>
      </c>
      <c r="AF768" s="43" t="b" cm="1">
        <f t="array" ref="AF768">IFERROR(_xlfn.BYROW(TRACK_TYPES[[#This Row],[TRACK_TYPE_NARROW_GAUGE_RAILTYPE_OHLE]:[TRACK_TYPE_NARROW_GAUGE_RAILTYPE_NONE]],_xlfn.LAMBDA(_xlpm.r,OR(_xlpm.r))),FALSE)</f>
        <v>1</v>
      </c>
      <c r="AG768" s="43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141</v>
      </c>
      <c r="B769" s="45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43" t="b" cm="1">
        <f t="array" ref="AE769">IFERROR(_xlfn.BYROW(TRACK_TYPES[[#This Row],[TRACK_TYPE_STANDARD_GAUGE_RAILTYPE_OHLE]:[TRACK_TYPE_STANDARD_GAUGE_RAILTYPE_NONE]],_xlfn.LAMBDA(_xlpm.r,OR(_xlpm.r))),FALSE)</f>
        <v>1</v>
      </c>
      <c r="AF769" s="43" t="b" cm="1">
        <f t="array" ref="AF769">IFERROR(_xlfn.BYROW(TRACK_TYPES[[#This Row],[TRACK_TYPE_NARROW_GAUGE_RAILTYPE_OHLE]:[TRACK_TYPE_NARROW_GAUGE_RAILTYPE_NONE]],_xlfn.LAMBDA(_xlpm.r,OR(_xlpm.r))),FALSE)</f>
        <v>1</v>
      </c>
      <c r="AG769" s="43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142</v>
      </c>
      <c r="B770" s="45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43" t="b" cm="1">
        <f t="array" ref="AE770">IFERROR(_xlfn.BYROW(TRACK_TYPES[[#This Row],[TRACK_TYPE_STANDARD_GAUGE_RAILTYPE_OHLE]:[TRACK_TYPE_STANDARD_GAUGE_RAILTYPE_NONE]],_xlfn.LAMBDA(_xlpm.r,OR(_xlpm.r))),FALSE)</f>
        <v>1</v>
      </c>
      <c r="AF770" s="43" t="b" cm="1">
        <f t="array" ref="AF770">IFERROR(_xlfn.BYROW(TRACK_TYPES[[#This Row],[TRACK_TYPE_NARROW_GAUGE_RAILTYPE_OHLE]:[TRACK_TYPE_NARROW_GAUGE_RAILTYPE_NONE]],_xlfn.LAMBDA(_xlpm.r,OR(_xlpm.r))),FALSE)</f>
        <v>1</v>
      </c>
      <c r="AG770" s="43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143</v>
      </c>
      <c r="B771" s="45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43" t="b" cm="1">
        <f t="array" ref="AE771">IFERROR(_xlfn.BYROW(TRACK_TYPES[[#This Row],[TRACK_TYPE_STANDARD_GAUGE_RAILTYPE_OHLE]:[TRACK_TYPE_STANDARD_GAUGE_RAILTYPE_NONE]],_xlfn.LAMBDA(_xlpm.r,OR(_xlpm.r))),FALSE)</f>
        <v>1</v>
      </c>
      <c r="AF771" s="43" t="b" cm="1">
        <f t="array" ref="AF771">IFERROR(_xlfn.BYROW(TRACK_TYPES[[#This Row],[TRACK_TYPE_NARROW_GAUGE_RAILTYPE_OHLE]:[TRACK_TYPE_NARROW_GAUGE_RAILTYPE_NONE]],_xlfn.LAMBDA(_xlpm.r,OR(_xlpm.r))),FALSE)</f>
        <v>1</v>
      </c>
      <c r="AG771" s="43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144</v>
      </c>
      <c r="B772" s="45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43" t="b" cm="1">
        <f t="array" ref="AE772">IFERROR(_xlfn.BYROW(TRACK_TYPES[[#This Row],[TRACK_TYPE_STANDARD_GAUGE_RAILTYPE_OHLE]:[TRACK_TYPE_STANDARD_GAUGE_RAILTYPE_NONE]],_xlfn.LAMBDA(_xlpm.r,OR(_xlpm.r))),FALSE)</f>
        <v>1</v>
      </c>
      <c r="AF772" s="43" t="b" cm="1">
        <f t="array" ref="AF772">IFERROR(_xlfn.BYROW(TRACK_TYPES[[#This Row],[TRACK_TYPE_NARROW_GAUGE_RAILTYPE_OHLE]:[TRACK_TYPE_NARROW_GAUGE_RAILTYPE_NONE]],_xlfn.LAMBDA(_xlpm.r,OR(_xlpm.r))),FALSE)</f>
        <v>1</v>
      </c>
      <c r="AG772" s="43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145</v>
      </c>
      <c r="B773" s="45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43" t="b" cm="1">
        <f t="array" ref="AE773">IFERROR(_xlfn.BYROW(TRACK_TYPES[[#This Row],[TRACK_TYPE_STANDARD_GAUGE_RAILTYPE_OHLE]:[TRACK_TYPE_STANDARD_GAUGE_RAILTYPE_NONE]],_xlfn.LAMBDA(_xlpm.r,OR(_xlpm.r))),FALSE)</f>
        <v>1</v>
      </c>
      <c r="AF773" s="43" t="b" cm="1">
        <f t="array" ref="AF773">IFERROR(_xlfn.BYROW(TRACK_TYPES[[#This Row],[TRACK_TYPE_NARROW_GAUGE_RAILTYPE_OHLE]:[TRACK_TYPE_NARROW_GAUGE_RAILTYPE_NONE]],_xlfn.LAMBDA(_xlpm.r,OR(_xlpm.r))),FALSE)</f>
        <v>1</v>
      </c>
      <c r="AG773" s="43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146</v>
      </c>
      <c r="B774" s="45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43" t="b" cm="1">
        <f t="array" ref="AE774">IFERROR(_xlfn.BYROW(TRACK_TYPES[[#This Row],[TRACK_TYPE_STANDARD_GAUGE_RAILTYPE_OHLE]:[TRACK_TYPE_STANDARD_GAUGE_RAILTYPE_NONE]],_xlfn.LAMBDA(_xlpm.r,OR(_xlpm.r))),FALSE)</f>
        <v>1</v>
      </c>
      <c r="AF774" s="43" t="b" cm="1">
        <f t="array" ref="AF774">IFERROR(_xlfn.BYROW(TRACK_TYPES[[#This Row],[TRACK_TYPE_NARROW_GAUGE_RAILTYPE_OHLE]:[TRACK_TYPE_NARROW_GAUGE_RAILTYPE_NONE]],_xlfn.LAMBDA(_xlpm.r,OR(_xlpm.r))),FALSE)</f>
        <v>1</v>
      </c>
      <c r="AG774" s="43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147</v>
      </c>
      <c r="B775" s="45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43" t="b" cm="1">
        <f t="array" ref="AE775">IFERROR(_xlfn.BYROW(TRACK_TYPES[[#This Row],[TRACK_TYPE_STANDARD_GAUGE_RAILTYPE_OHLE]:[TRACK_TYPE_STANDARD_GAUGE_RAILTYPE_NONE]],_xlfn.LAMBDA(_xlpm.r,OR(_xlpm.r))),FALSE)</f>
        <v>1</v>
      </c>
      <c r="AF775" s="43" t="b" cm="1">
        <f t="array" ref="AF775">IFERROR(_xlfn.BYROW(TRACK_TYPES[[#This Row],[TRACK_TYPE_NARROW_GAUGE_RAILTYPE_OHLE]:[TRACK_TYPE_NARROW_GAUGE_RAILTYPE_NONE]],_xlfn.LAMBDA(_xlpm.r,OR(_xlpm.r))),FALSE)</f>
        <v>1</v>
      </c>
      <c r="AG775" s="43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148</v>
      </c>
      <c r="B776" s="45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43" t="b" cm="1">
        <f t="array" ref="AE776">IFERROR(_xlfn.BYROW(TRACK_TYPES[[#This Row],[TRACK_TYPE_STANDARD_GAUGE_RAILTYPE_OHLE]:[TRACK_TYPE_STANDARD_GAUGE_RAILTYPE_NONE]],_xlfn.LAMBDA(_xlpm.r,OR(_xlpm.r))),FALSE)</f>
        <v>1</v>
      </c>
      <c r="AF776" s="43" t="b" cm="1">
        <f t="array" ref="AF776">IFERROR(_xlfn.BYROW(TRACK_TYPES[[#This Row],[TRACK_TYPE_NARROW_GAUGE_RAILTYPE_OHLE]:[TRACK_TYPE_NARROW_GAUGE_RAILTYPE_NONE]],_xlfn.LAMBDA(_xlpm.r,OR(_xlpm.r))),FALSE)</f>
        <v>1</v>
      </c>
      <c r="AG776" s="43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149</v>
      </c>
      <c r="B777" s="45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43" t="b" cm="1">
        <f t="array" ref="AE777">IFERROR(_xlfn.BYROW(TRACK_TYPES[[#This Row],[TRACK_TYPE_STANDARD_GAUGE_RAILTYPE_OHLE]:[TRACK_TYPE_STANDARD_GAUGE_RAILTYPE_NONE]],_xlfn.LAMBDA(_xlpm.r,OR(_xlpm.r))),FALSE)</f>
        <v>1</v>
      </c>
      <c r="AF777" s="43" t="b" cm="1">
        <f t="array" ref="AF777">IFERROR(_xlfn.BYROW(TRACK_TYPES[[#This Row],[TRACK_TYPE_NARROW_GAUGE_RAILTYPE_OHLE]:[TRACK_TYPE_NARROW_GAUGE_RAILTYPE_NONE]],_xlfn.LAMBDA(_xlpm.r,OR(_xlpm.r))),FALSE)</f>
        <v>1</v>
      </c>
      <c r="AG777" s="43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150</v>
      </c>
      <c r="B778" s="45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43" t="b" cm="1">
        <f t="array" ref="AE778">IFERROR(_xlfn.BYROW(TRACK_TYPES[[#This Row],[TRACK_TYPE_STANDARD_GAUGE_RAILTYPE_OHLE]:[TRACK_TYPE_STANDARD_GAUGE_RAILTYPE_NONE]],_xlfn.LAMBDA(_xlpm.r,OR(_xlpm.r))),FALSE)</f>
        <v>1</v>
      </c>
      <c r="AF778" s="43" t="b" cm="1">
        <f t="array" ref="AF778">IFERROR(_xlfn.BYROW(TRACK_TYPES[[#This Row],[TRACK_TYPE_NARROW_GAUGE_RAILTYPE_OHLE]:[TRACK_TYPE_NARROW_GAUGE_RAILTYPE_NONE]],_xlfn.LAMBDA(_xlpm.r,OR(_xlpm.r))),FALSE)</f>
        <v>1</v>
      </c>
      <c r="AG778" s="43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151</v>
      </c>
      <c r="B779" s="45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43" t="b" cm="1">
        <f t="array" ref="AE779">IFERROR(_xlfn.BYROW(TRACK_TYPES[[#This Row],[TRACK_TYPE_STANDARD_GAUGE_RAILTYPE_OHLE]:[TRACK_TYPE_STANDARD_GAUGE_RAILTYPE_NONE]],_xlfn.LAMBDA(_xlpm.r,OR(_xlpm.r))),FALSE)</f>
        <v>1</v>
      </c>
      <c r="AF779" s="43" t="b" cm="1">
        <f t="array" ref="AF779">IFERROR(_xlfn.BYROW(TRACK_TYPES[[#This Row],[TRACK_TYPE_NARROW_GAUGE_RAILTYPE_OHLE]:[TRACK_TYPE_NARROW_GAUGE_RAILTYPE_NONE]],_xlfn.LAMBDA(_xlpm.r,OR(_xlpm.r))),FALSE)</f>
        <v>1</v>
      </c>
      <c r="AG779" s="43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152</v>
      </c>
      <c r="B780" s="45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43" t="b" cm="1">
        <f t="array" ref="AE780">IFERROR(_xlfn.BYROW(TRACK_TYPES[[#This Row],[TRACK_TYPE_STANDARD_GAUGE_RAILTYPE_OHLE]:[TRACK_TYPE_STANDARD_GAUGE_RAILTYPE_NONE]],_xlfn.LAMBDA(_xlpm.r,OR(_xlpm.r))),FALSE)</f>
        <v>1</v>
      </c>
      <c r="AF780" s="43" t="b" cm="1">
        <f t="array" ref="AF780">IFERROR(_xlfn.BYROW(TRACK_TYPES[[#This Row],[TRACK_TYPE_NARROW_GAUGE_RAILTYPE_OHLE]:[TRACK_TYPE_NARROW_GAUGE_RAILTYPE_NONE]],_xlfn.LAMBDA(_xlpm.r,OR(_xlpm.r))),FALSE)</f>
        <v>1</v>
      </c>
      <c r="AG780" s="43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153</v>
      </c>
      <c r="B781" s="45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43" t="b" cm="1">
        <f t="array" ref="AE781">IFERROR(_xlfn.BYROW(TRACK_TYPES[[#This Row],[TRACK_TYPE_STANDARD_GAUGE_RAILTYPE_OHLE]:[TRACK_TYPE_STANDARD_GAUGE_RAILTYPE_NONE]],_xlfn.LAMBDA(_xlpm.r,OR(_xlpm.r))),FALSE)</f>
        <v>1</v>
      </c>
      <c r="AF781" s="43" t="b" cm="1">
        <f t="array" ref="AF781">IFERROR(_xlfn.BYROW(TRACK_TYPES[[#This Row],[TRACK_TYPE_NARROW_GAUGE_RAILTYPE_OHLE]:[TRACK_TYPE_NARROW_GAUGE_RAILTYPE_NONE]],_xlfn.LAMBDA(_xlpm.r,OR(_xlpm.r))),FALSE)</f>
        <v>1</v>
      </c>
      <c r="AG781" s="43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154</v>
      </c>
      <c r="B782" s="45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43" t="b" cm="1">
        <f t="array" ref="AE782">IFERROR(_xlfn.BYROW(TRACK_TYPES[[#This Row],[TRACK_TYPE_STANDARD_GAUGE_RAILTYPE_OHLE]:[TRACK_TYPE_STANDARD_GAUGE_RAILTYPE_NONE]],_xlfn.LAMBDA(_xlpm.r,OR(_xlpm.r))),FALSE)</f>
        <v>1</v>
      </c>
      <c r="AF782" s="43" t="b" cm="1">
        <f t="array" ref="AF782">IFERROR(_xlfn.BYROW(TRACK_TYPES[[#This Row],[TRACK_TYPE_NARROW_GAUGE_RAILTYPE_OHLE]:[TRACK_TYPE_NARROW_GAUGE_RAILTYPE_NONE]],_xlfn.LAMBDA(_xlpm.r,OR(_xlpm.r))),FALSE)</f>
        <v>1</v>
      </c>
      <c r="AG782" s="43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155</v>
      </c>
      <c r="B783" s="45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43" t="b" cm="1">
        <f t="array" ref="AE783">IFERROR(_xlfn.BYROW(TRACK_TYPES[[#This Row],[TRACK_TYPE_STANDARD_GAUGE_RAILTYPE_OHLE]:[TRACK_TYPE_STANDARD_GAUGE_RAILTYPE_NONE]],_xlfn.LAMBDA(_xlpm.r,OR(_xlpm.r))),FALSE)</f>
        <v>1</v>
      </c>
      <c r="AF783" s="43" t="b" cm="1">
        <f t="array" ref="AF783">IFERROR(_xlfn.BYROW(TRACK_TYPES[[#This Row],[TRACK_TYPE_NARROW_GAUGE_RAILTYPE_OHLE]:[TRACK_TYPE_NARROW_GAUGE_RAILTYPE_NONE]],_xlfn.LAMBDA(_xlpm.r,OR(_xlpm.r))),FALSE)</f>
        <v>1</v>
      </c>
      <c r="AG783" s="43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156</v>
      </c>
      <c r="B784" s="45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43" t="b" cm="1">
        <f t="array" ref="AE784">IFERROR(_xlfn.BYROW(TRACK_TYPES[[#This Row],[TRACK_TYPE_STANDARD_GAUGE_RAILTYPE_OHLE]:[TRACK_TYPE_STANDARD_GAUGE_RAILTYPE_NONE]],_xlfn.LAMBDA(_xlpm.r,OR(_xlpm.r))),FALSE)</f>
        <v>1</v>
      </c>
      <c r="AF784" s="43" t="b" cm="1">
        <f t="array" ref="AF784">IFERROR(_xlfn.BYROW(TRACK_TYPES[[#This Row],[TRACK_TYPE_NARROW_GAUGE_RAILTYPE_OHLE]:[TRACK_TYPE_NARROW_GAUGE_RAILTYPE_NONE]],_xlfn.LAMBDA(_xlpm.r,OR(_xlpm.r))),FALSE)</f>
        <v>1</v>
      </c>
      <c r="AG784" s="43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157</v>
      </c>
      <c r="B785" s="45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43" t="b" cm="1">
        <f t="array" ref="AE785">IFERROR(_xlfn.BYROW(TRACK_TYPES[[#This Row],[TRACK_TYPE_STANDARD_GAUGE_RAILTYPE_OHLE]:[TRACK_TYPE_STANDARD_GAUGE_RAILTYPE_NONE]],_xlfn.LAMBDA(_xlpm.r,OR(_xlpm.r))),FALSE)</f>
        <v>1</v>
      </c>
      <c r="AF785" s="43" t="b" cm="1">
        <f t="array" ref="AF785">IFERROR(_xlfn.BYROW(TRACK_TYPES[[#This Row],[TRACK_TYPE_NARROW_GAUGE_RAILTYPE_OHLE]:[TRACK_TYPE_NARROW_GAUGE_RAILTYPE_NONE]],_xlfn.LAMBDA(_xlpm.r,OR(_xlpm.r))),FALSE)</f>
        <v>1</v>
      </c>
      <c r="AG785" s="43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158</v>
      </c>
      <c r="B786" s="45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43" t="b" cm="1">
        <f t="array" ref="AE786">IFERROR(_xlfn.BYROW(TRACK_TYPES[[#This Row],[TRACK_TYPE_STANDARD_GAUGE_RAILTYPE_OHLE]:[TRACK_TYPE_STANDARD_GAUGE_RAILTYPE_NONE]],_xlfn.LAMBDA(_xlpm.r,OR(_xlpm.r))),FALSE)</f>
        <v>1</v>
      </c>
      <c r="AF786" s="43" t="b" cm="1">
        <f t="array" ref="AF786">IFERROR(_xlfn.BYROW(TRACK_TYPES[[#This Row],[TRACK_TYPE_NARROW_GAUGE_RAILTYPE_OHLE]:[TRACK_TYPE_NARROW_GAUGE_RAILTYPE_NONE]],_xlfn.LAMBDA(_xlpm.r,OR(_xlpm.r))),FALSE)</f>
        <v>1</v>
      </c>
      <c r="AG786" s="43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159</v>
      </c>
      <c r="B787" s="45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43" t="b" cm="1">
        <f t="array" ref="AE787">IFERROR(_xlfn.BYROW(TRACK_TYPES[[#This Row],[TRACK_TYPE_STANDARD_GAUGE_RAILTYPE_OHLE]:[TRACK_TYPE_STANDARD_GAUGE_RAILTYPE_NONE]],_xlfn.LAMBDA(_xlpm.r,OR(_xlpm.r))),FALSE)</f>
        <v>1</v>
      </c>
      <c r="AF787" s="43" t="b" cm="1">
        <f t="array" ref="AF787">IFERROR(_xlfn.BYROW(TRACK_TYPES[[#This Row],[TRACK_TYPE_NARROW_GAUGE_RAILTYPE_OHLE]:[TRACK_TYPE_NARROW_GAUGE_RAILTYPE_NONE]],_xlfn.LAMBDA(_xlpm.r,OR(_xlpm.r))),FALSE)</f>
        <v>1</v>
      </c>
      <c r="AG787" s="43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160</v>
      </c>
      <c r="B788" s="45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43" t="b" cm="1">
        <f t="array" ref="AE788">IFERROR(_xlfn.BYROW(TRACK_TYPES[[#This Row],[TRACK_TYPE_STANDARD_GAUGE_RAILTYPE_OHLE]:[TRACK_TYPE_STANDARD_GAUGE_RAILTYPE_NONE]],_xlfn.LAMBDA(_xlpm.r,OR(_xlpm.r))),FALSE)</f>
        <v>1</v>
      </c>
      <c r="AF788" s="43" t="b" cm="1">
        <f t="array" ref="AF788">IFERROR(_xlfn.BYROW(TRACK_TYPES[[#This Row],[TRACK_TYPE_NARROW_GAUGE_RAILTYPE_OHLE]:[TRACK_TYPE_NARROW_GAUGE_RAILTYPE_NONE]],_xlfn.LAMBDA(_xlpm.r,OR(_xlpm.r))),FALSE)</f>
        <v>1</v>
      </c>
      <c r="AG788" s="43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161</v>
      </c>
      <c r="B789" s="45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43" t="b" cm="1">
        <f t="array" ref="AE789">IFERROR(_xlfn.BYROW(TRACK_TYPES[[#This Row],[TRACK_TYPE_STANDARD_GAUGE_RAILTYPE_OHLE]:[TRACK_TYPE_STANDARD_GAUGE_RAILTYPE_NONE]],_xlfn.LAMBDA(_xlpm.r,OR(_xlpm.r))),FALSE)</f>
        <v>1</v>
      </c>
      <c r="AF789" s="43" t="b" cm="1">
        <f t="array" ref="AF789">IFERROR(_xlfn.BYROW(TRACK_TYPES[[#This Row],[TRACK_TYPE_NARROW_GAUGE_RAILTYPE_OHLE]:[TRACK_TYPE_NARROW_GAUGE_RAILTYPE_NONE]],_xlfn.LAMBDA(_xlpm.r,OR(_xlpm.r))),FALSE)</f>
        <v>1</v>
      </c>
      <c r="AG789" s="43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3346</v>
      </c>
      <c r="B790" s="45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43" t="b" cm="1">
        <f t="array" ref="AE790">IFERROR(_xlfn.BYROW(TRACK_TYPES[[#This Row],[TRACK_TYPE_STANDARD_GAUGE_RAILTYPE_OHLE]:[TRACK_TYPE_STANDARD_GAUGE_RAILTYPE_NONE]],_xlfn.LAMBDA(_xlpm.r,OR(_xlpm.r))),FALSE)</f>
        <v>1</v>
      </c>
      <c r="AF790" s="43" t="b" cm="1">
        <f t="array" ref="AF790">IFERROR(_xlfn.BYROW(TRACK_TYPES[[#This Row],[TRACK_TYPE_NARROW_GAUGE_RAILTYPE_OHLE]:[TRACK_TYPE_NARROW_GAUGE_RAILTYPE_NONE]],_xlfn.LAMBDA(_xlpm.r,OR(_xlpm.r))),FALSE)</f>
        <v>0</v>
      </c>
      <c r="AG790" s="43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3347</v>
      </c>
      <c r="B791" s="45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43" t="b" cm="1">
        <f t="array" ref="AE791">IFERROR(_xlfn.BYROW(TRACK_TYPES[[#This Row],[TRACK_TYPE_STANDARD_GAUGE_RAILTYPE_OHLE]:[TRACK_TYPE_STANDARD_GAUGE_RAILTYPE_NONE]],_xlfn.LAMBDA(_xlpm.r,OR(_xlpm.r))),FALSE)</f>
        <v>0</v>
      </c>
      <c r="AF791" s="43" t="b" cm="1">
        <f t="array" ref="AF791">IFERROR(_xlfn.BYROW(TRACK_TYPES[[#This Row],[TRACK_TYPE_NARROW_GAUGE_RAILTYPE_OHLE]:[TRACK_TYPE_NARROW_GAUGE_RAILTYPE_NONE]],_xlfn.LAMBDA(_xlpm.r,OR(_xlpm.r))),FALSE)</f>
        <v>1</v>
      </c>
      <c r="AG791" s="43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3348</v>
      </c>
      <c r="B792" s="45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43" t="b" cm="1">
        <f t="array" ref="AE792">IFERROR(_xlfn.BYROW(TRACK_TYPES[[#This Row],[TRACK_TYPE_STANDARD_GAUGE_RAILTYPE_OHLE]:[TRACK_TYPE_STANDARD_GAUGE_RAILTYPE_NONE]],_xlfn.LAMBDA(_xlpm.r,OR(_xlpm.r))),FALSE)</f>
        <v>0</v>
      </c>
      <c r="AF792" s="43" t="b" cm="1">
        <f t="array" ref="AF792">IFERROR(_xlfn.BYROW(TRACK_TYPES[[#This Row],[TRACK_TYPE_NARROW_GAUGE_RAILTYPE_OHLE]:[TRACK_TYPE_NARROW_GAUGE_RAILTYPE_NONE]],_xlfn.LAMBDA(_xlpm.r,OR(_xlpm.r))),FALSE)</f>
        <v>1</v>
      </c>
      <c r="AG792" s="43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3349</v>
      </c>
      <c r="B793" s="45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43" t="b" cm="1">
        <f t="array" ref="AE793">IFERROR(_xlfn.BYROW(TRACK_TYPES[[#This Row],[TRACK_TYPE_STANDARD_GAUGE_RAILTYPE_OHLE]:[TRACK_TYPE_STANDARD_GAUGE_RAILTYPE_NONE]],_xlfn.LAMBDA(_xlpm.r,OR(_xlpm.r))),FALSE)</f>
        <v>1</v>
      </c>
      <c r="AF793" s="43" t="b" cm="1">
        <f t="array" ref="AF793">IFERROR(_xlfn.BYROW(TRACK_TYPES[[#This Row],[TRACK_TYPE_NARROW_GAUGE_RAILTYPE_OHLE]:[TRACK_TYPE_NARROW_GAUGE_RAILTYPE_NONE]],_xlfn.LAMBDA(_xlpm.r,OR(_xlpm.r))),FALSE)</f>
        <v>0</v>
      </c>
      <c r="AG793" s="43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3350</v>
      </c>
      <c r="B794" s="45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43" t="b" cm="1">
        <f t="array" ref="AE794">IFERROR(_xlfn.BYROW(TRACK_TYPES[[#This Row],[TRACK_TYPE_STANDARD_GAUGE_RAILTYPE_OHLE]:[TRACK_TYPE_STANDARD_GAUGE_RAILTYPE_NONE]],_xlfn.LAMBDA(_xlpm.r,OR(_xlpm.r))),FALSE)</f>
        <v>1</v>
      </c>
      <c r="AF794" s="43" t="b" cm="1">
        <f t="array" ref="AF794">IFERROR(_xlfn.BYROW(TRACK_TYPES[[#This Row],[TRACK_TYPE_NARROW_GAUGE_RAILTYPE_OHLE]:[TRACK_TYPE_NARROW_GAUGE_RAILTYPE_NONE]],_xlfn.LAMBDA(_xlpm.r,OR(_xlpm.r))),FALSE)</f>
        <v>0</v>
      </c>
      <c r="AG794" s="43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3351</v>
      </c>
      <c r="B795" s="45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43" t="b" cm="1">
        <f t="array" ref="AE795">IFERROR(_xlfn.BYROW(TRACK_TYPES[[#This Row],[TRACK_TYPE_STANDARD_GAUGE_RAILTYPE_OHLE]:[TRACK_TYPE_STANDARD_GAUGE_RAILTYPE_NONE]],_xlfn.LAMBDA(_xlpm.r,OR(_xlpm.r))),FALSE)</f>
        <v>0</v>
      </c>
      <c r="AF795" s="43" t="b" cm="1">
        <f t="array" ref="AF795">IFERROR(_xlfn.BYROW(TRACK_TYPES[[#This Row],[TRACK_TYPE_NARROW_GAUGE_RAILTYPE_OHLE]:[TRACK_TYPE_NARROW_GAUGE_RAILTYPE_NONE]],_xlfn.LAMBDA(_xlpm.r,OR(_xlpm.r))),FALSE)</f>
        <v>1</v>
      </c>
      <c r="AG795" s="43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3528</v>
      </c>
      <c r="B796" s="45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43" t="b" cm="1">
        <f t="array" ref="AE796">IFERROR(_xlfn.BYROW(TRACK_TYPES[[#This Row],[TRACK_TYPE_STANDARD_GAUGE_RAILTYPE_OHLE]:[TRACK_TYPE_STANDARD_GAUGE_RAILTYPE_NONE]],_xlfn.LAMBDA(_xlpm.r,OR(_xlpm.r))),FALSE)</f>
        <v>0</v>
      </c>
      <c r="AF796" s="43" t="b" cm="1">
        <f t="array" ref="AF796">IFERROR(_xlfn.BYROW(TRACK_TYPES[[#This Row],[TRACK_TYPE_NARROW_GAUGE_RAILTYPE_OHLE]:[TRACK_TYPE_NARROW_GAUGE_RAILTYPE_NONE]],_xlfn.LAMBDA(_xlpm.r,OR(_xlpm.r))),FALSE)</f>
        <v>1</v>
      </c>
      <c r="AG796" s="43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3352</v>
      </c>
      <c r="B797" s="45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43" t="b" cm="1">
        <f t="array" ref="AE797">IFERROR(_xlfn.BYROW(TRACK_TYPES[[#This Row],[TRACK_TYPE_STANDARD_GAUGE_RAILTYPE_OHLE]:[TRACK_TYPE_STANDARD_GAUGE_RAILTYPE_NONE]],_xlfn.LAMBDA(_xlpm.r,OR(_xlpm.r))),FALSE)</f>
        <v>0</v>
      </c>
      <c r="AF797" s="43" t="b" cm="1">
        <f t="array" ref="AF797">IFERROR(_xlfn.BYROW(TRACK_TYPES[[#This Row],[TRACK_TYPE_NARROW_GAUGE_RAILTYPE_OHLE]:[TRACK_TYPE_NARROW_GAUGE_RAILTYPE_NONE]],_xlfn.LAMBDA(_xlpm.r,OR(_xlpm.r))),FALSE)</f>
        <v>1</v>
      </c>
      <c r="AG797" s="43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3353</v>
      </c>
      <c r="B798" s="45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43" t="b" cm="1">
        <f t="array" ref="AE798">IFERROR(_xlfn.BYROW(TRACK_TYPES[[#This Row],[TRACK_TYPE_STANDARD_GAUGE_RAILTYPE_OHLE]:[TRACK_TYPE_STANDARD_GAUGE_RAILTYPE_NONE]],_xlfn.LAMBDA(_xlpm.r,OR(_xlpm.r))),FALSE)</f>
        <v>0</v>
      </c>
      <c r="AF798" s="43" t="b" cm="1">
        <f t="array" ref="AF798">IFERROR(_xlfn.BYROW(TRACK_TYPES[[#This Row],[TRACK_TYPE_NARROW_GAUGE_RAILTYPE_OHLE]:[TRACK_TYPE_NARROW_GAUGE_RAILTYPE_NONE]],_xlfn.LAMBDA(_xlpm.r,OR(_xlpm.r))),FALSE)</f>
        <v>1</v>
      </c>
      <c r="AG798" s="43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3354</v>
      </c>
      <c r="B799" s="45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43" t="b" cm="1">
        <f t="array" ref="AE799">IFERROR(_xlfn.BYROW(TRACK_TYPES[[#This Row],[TRACK_TYPE_STANDARD_GAUGE_RAILTYPE_OHLE]:[TRACK_TYPE_STANDARD_GAUGE_RAILTYPE_NONE]],_xlfn.LAMBDA(_xlpm.r,OR(_xlpm.r))),FALSE)</f>
        <v>0</v>
      </c>
      <c r="AF799" s="43" t="b" cm="1">
        <f t="array" ref="AF799">IFERROR(_xlfn.BYROW(TRACK_TYPES[[#This Row],[TRACK_TYPE_NARROW_GAUGE_RAILTYPE_OHLE]:[TRACK_TYPE_NARROW_GAUGE_RAILTYPE_NONE]],_xlfn.LAMBDA(_xlpm.r,OR(_xlpm.r))),FALSE)</f>
        <v>1</v>
      </c>
      <c r="AG799" s="43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3355</v>
      </c>
      <c r="B800" s="45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43" t="b" cm="1">
        <f t="array" ref="AE800">IFERROR(_xlfn.BYROW(TRACK_TYPES[[#This Row],[TRACK_TYPE_STANDARD_GAUGE_RAILTYPE_OHLE]:[TRACK_TYPE_STANDARD_GAUGE_RAILTYPE_NONE]],_xlfn.LAMBDA(_xlpm.r,OR(_xlpm.r))),FALSE)</f>
        <v>0</v>
      </c>
      <c r="AF800" s="43" t="b" cm="1">
        <f t="array" ref="AF800">IFERROR(_xlfn.BYROW(TRACK_TYPES[[#This Row],[TRACK_TYPE_NARROW_GAUGE_RAILTYPE_OHLE]:[TRACK_TYPE_NARROW_GAUGE_RAILTYPE_NONE]],_xlfn.LAMBDA(_xlpm.r,OR(_xlpm.r))),FALSE)</f>
        <v>1</v>
      </c>
      <c r="AG800" s="43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3356</v>
      </c>
      <c r="B801" s="45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43" t="b" cm="1">
        <f t="array" ref="AE801">IFERROR(_xlfn.BYROW(TRACK_TYPES[[#This Row],[TRACK_TYPE_STANDARD_GAUGE_RAILTYPE_OHLE]:[TRACK_TYPE_STANDARD_GAUGE_RAILTYPE_NONE]],_xlfn.LAMBDA(_xlpm.r,OR(_xlpm.r))),FALSE)</f>
        <v>0</v>
      </c>
      <c r="AF801" s="43" t="b" cm="1">
        <f t="array" ref="AF801">IFERROR(_xlfn.BYROW(TRACK_TYPES[[#This Row],[TRACK_TYPE_NARROW_GAUGE_RAILTYPE_OHLE]:[TRACK_TYPE_NARROW_GAUGE_RAILTYPE_NONE]],_xlfn.LAMBDA(_xlpm.r,OR(_xlpm.r))),FALSE)</f>
        <v>1</v>
      </c>
      <c r="AG801" s="43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3357</v>
      </c>
      <c r="B802" s="45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43" t="b" cm="1">
        <f t="array" ref="AE802">IFERROR(_xlfn.BYROW(TRACK_TYPES[[#This Row],[TRACK_TYPE_STANDARD_GAUGE_RAILTYPE_OHLE]:[TRACK_TYPE_STANDARD_GAUGE_RAILTYPE_NONE]],_xlfn.LAMBDA(_xlpm.r,OR(_xlpm.r))),FALSE)</f>
        <v>0</v>
      </c>
      <c r="AF802" s="43" t="b" cm="1">
        <f t="array" ref="AF802">IFERROR(_xlfn.BYROW(TRACK_TYPES[[#This Row],[TRACK_TYPE_NARROW_GAUGE_RAILTYPE_OHLE]:[TRACK_TYPE_NARROW_GAUGE_RAILTYPE_NONE]],_xlfn.LAMBDA(_xlpm.r,OR(_xlpm.r))),FALSE)</f>
        <v>1</v>
      </c>
      <c r="AG802" s="43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3358</v>
      </c>
      <c r="B803" s="45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43" t="b" cm="1">
        <f t="array" ref="AE803">IFERROR(_xlfn.BYROW(TRACK_TYPES[[#This Row],[TRACK_TYPE_STANDARD_GAUGE_RAILTYPE_OHLE]:[TRACK_TYPE_STANDARD_GAUGE_RAILTYPE_NONE]],_xlfn.LAMBDA(_xlpm.r,OR(_xlpm.r))),FALSE)</f>
        <v>1</v>
      </c>
      <c r="AF803" s="43" t="b" cm="1">
        <f t="array" ref="AF803">IFERROR(_xlfn.BYROW(TRACK_TYPES[[#This Row],[TRACK_TYPE_NARROW_GAUGE_RAILTYPE_OHLE]:[TRACK_TYPE_NARROW_GAUGE_RAILTYPE_NONE]],_xlfn.LAMBDA(_xlpm.r,OR(_xlpm.r))),FALSE)</f>
        <v>0</v>
      </c>
      <c r="AG803" s="43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3359</v>
      </c>
      <c r="B804" s="45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43" t="b" cm="1">
        <f t="array" ref="AE804">IFERROR(_xlfn.BYROW(TRACK_TYPES[[#This Row],[TRACK_TYPE_STANDARD_GAUGE_RAILTYPE_OHLE]:[TRACK_TYPE_STANDARD_GAUGE_RAILTYPE_NONE]],_xlfn.LAMBDA(_xlpm.r,OR(_xlpm.r))),FALSE)</f>
        <v>1</v>
      </c>
      <c r="AF804" s="43" t="b" cm="1">
        <f t="array" ref="AF804">IFERROR(_xlfn.BYROW(TRACK_TYPES[[#This Row],[TRACK_TYPE_NARROW_GAUGE_RAILTYPE_OHLE]:[TRACK_TYPE_NARROW_GAUGE_RAILTYPE_NONE]],_xlfn.LAMBDA(_xlpm.r,OR(_xlpm.r))),FALSE)</f>
        <v>0</v>
      </c>
      <c r="AG804" s="43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1782</v>
      </c>
      <c r="B805" s="45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43" t="b" cm="1">
        <f t="array" ref="AE805">IFERROR(_xlfn.BYROW(TRACK_TYPES[[#This Row],[TRACK_TYPE_STANDARD_GAUGE_RAILTYPE_OHLE]:[TRACK_TYPE_STANDARD_GAUGE_RAILTYPE_NONE]],_xlfn.LAMBDA(_xlpm.r,OR(_xlpm.r))),FALSE)</f>
        <v>1</v>
      </c>
      <c r="AF805" s="43" t="b" cm="1">
        <f t="array" ref="AF805">IFERROR(_xlfn.BYROW(TRACK_TYPES[[#This Row],[TRACK_TYPE_NARROW_GAUGE_RAILTYPE_OHLE]:[TRACK_TYPE_NARROW_GAUGE_RAILTYPE_NONE]],_xlfn.LAMBDA(_xlpm.r,OR(_xlpm.r))),FALSE)</f>
        <v>1</v>
      </c>
      <c r="AG805" s="43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1783</v>
      </c>
      <c r="B806" s="45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43" t="b" cm="1">
        <f t="array" ref="AE806">IFERROR(_xlfn.BYROW(TRACK_TYPES[[#This Row],[TRACK_TYPE_STANDARD_GAUGE_RAILTYPE_OHLE]:[TRACK_TYPE_STANDARD_GAUGE_RAILTYPE_NONE]],_xlfn.LAMBDA(_xlpm.r,OR(_xlpm.r))),FALSE)</f>
        <v>1</v>
      </c>
      <c r="AF806" s="43" t="b" cm="1">
        <f t="array" ref="AF806">IFERROR(_xlfn.BYROW(TRACK_TYPES[[#This Row],[TRACK_TYPE_NARROW_GAUGE_RAILTYPE_OHLE]:[TRACK_TYPE_NARROW_GAUGE_RAILTYPE_NONE]],_xlfn.LAMBDA(_xlpm.r,OR(_xlpm.r))),FALSE)</f>
        <v>1</v>
      </c>
      <c r="AG806" s="43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1766</v>
      </c>
      <c r="B807" s="45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43" t="b" cm="1">
        <f t="array" ref="AE807">IFERROR(_xlfn.BYROW(TRACK_TYPES[[#This Row],[TRACK_TYPE_STANDARD_GAUGE_RAILTYPE_OHLE]:[TRACK_TYPE_STANDARD_GAUGE_RAILTYPE_NONE]],_xlfn.LAMBDA(_xlpm.r,OR(_xlpm.r))),FALSE)</f>
        <v>1</v>
      </c>
      <c r="AF807" s="43" t="b" cm="1">
        <f t="array" ref="AF807">IFERROR(_xlfn.BYROW(TRACK_TYPES[[#This Row],[TRACK_TYPE_NARROW_GAUGE_RAILTYPE_OHLE]:[TRACK_TYPE_NARROW_GAUGE_RAILTYPE_NONE]],_xlfn.LAMBDA(_xlpm.r,OR(_xlpm.r))),FALSE)</f>
        <v>1</v>
      </c>
      <c r="AG807" s="43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1761</v>
      </c>
      <c r="B808" s="45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43" t="b" cm="1">
        <f t="array" ref="AE808">IFERROR(_xlfn.BYROW(TRACK_TYPES[[#This Row],[TRACK_TYPE_STANDARD_GAUGE_RAILTYPE_OHLE]:[TRACK_TYPE_STANDARD_GAUGE_RAILTYPE_NONE]],_xlfn.LAMBDA(_xlpm.r,OR(_xlpm.r))),FALSE)</f>
        <v>1</v>
      </c>
      <c r="AF808" s="43" t="b" cm="1">
        <f t="array" ref="AF808">IFERROR(_xlfn.BYROW(TRACK_TYPES[[#This Row],[TRACK_TYPE_NARROW_GAUGE_RAILTYPE_OHLE]:[TRACK_TYPE_NARROW_GAUGE_RAILTYPE_NONE]],_xlfn.LAMBDA(_xlpm.r,OR(_xlpm.r))),FALSE)</f>
        <v>1</v>
      </c>
      <c r="AG808" s="43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1762</v>
      </c>
      <c r="B809" s="45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43" t="b" cm="1">
        <f t="array" ref="AE809">IFERROR(_xlfn.BYROW(TRACK_TYPES[[#This Row],[TRACK_TYPE_STANDARD_GAUGE_RAILTYPE_OHLE]:[TRACK_TYPE_STANDARD_GAUGE_RAILTYPE_NONE]],_xlfn.LAMBDA(_xlpm.r,OR(_xlpm.r))),FALSE)</f>
        <v>1</v>
      </c>
      <c r="AF809" s="43" t="b" cm="1">
        <f t="array" ref="AF809">IFERROR(_xlfn.BYROW(TRACK_TYPES[[#This Row],[TRACK_TYPE_NARROW_GAUGE_RAILTYPE_OHLE]:[TRACK_TYPE_NARROW_GAUGE_RAILTYPE_NONE]],_xlfn.LAMBDA(_xlpm.r,OR(_xlpm.r))),FALSE)</f>
        <v>1</v>
      </c>
      <c r="AG809" s="43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1763</v>
      </c>
      <c r="B810" s="45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43" t="b" cm="1">
        <f t="array" ref="AE810">IFERROR(_xlfn.BYROW(TRACK_TYPES[[#This Row],[TRACK_TYPE_STANDARD_GAUGE_RAILTYPE_OHLE]:[TRACK_TYPE_STANDARD_GAUGE_RAILTYPE_NONE]],_xlfn.LAMBDA(_xlpm.r,OR(_xlpm.r))),FALSE)</f>
        <v>1</v>
      </c>
      <c r="AF810" s="43" t="b" cm="1">
        <f t="array" ref="AF810">IFERROR(_xlfn.BYROW(TRACK_TYPES[[#This Row],[TRACK_TYPE_NARROW_GAUGE_RAILTYPE_OHLE]:[TRACK_TYPE_NARROW_GAUGE_RAILTYPE_NONE]],_xlfn.LAMBDA(_xlpm.r,OR(_xlpm.r))),FALSE)</f>
        <v>1</v>
      </c>
      <c r="AG810" s="43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1764</v>
      </c>
      <c r="B811" s="45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43" t="b" cm="1">
        <f t="array" ref="AE811">IFERROR(_xlfn.BYROW(TRACK_TYPES[[#This Row],[TRACK_TYPE_STANDARD_GAUGE_RAILTYPE_OHLE]:[TRACK_TYPE_STANDARD_GAUGE_RAILTYPE_NONE]],_xlfn.LAMBDA(_xlpm.r,OR(_xlpm.r))),FALSE)</f>
        <v>1</v>
      </c>
      <c r="AF811" s="43" t="b" cm="1">
        <f t="array" ref="AF811">IFERROR(_xlfn.BYROW(TRACK_TYPES[[#This Row],[TRACK_TYPE_NARROW_GAUGE_RAILTYPE_OHLE]:[TRACK_TYPE_NARROW_GAUGE_RAILTYPE_NONE]],_xlfn.LAMBDA(_xlpm.r,OR(_xlpm.r))),FALSE)</f>
        <v>1</v>
      </c>
      <c r="AG811" s="43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1765</v>
      </c>
      <c r="B812" s="45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43" t="b" cm="1">
        <f t="array" ref="AE812">IFERROR(_xlfn.BYROW(TRACK_TYPES[[#This Row],[TRACK_TYPE_STANDARD_GAUGE_RAILTYPE_OHLE]:[TRACK_TYPE_STANDARD_GAUGE_RAILTYPE_NONE]],_xlfn.LAMBDA(_xlpm.r,OR(_xlpm.r))),FALSE)</f>
        <v>1</v>
      </c>
      <c r="AF812" s="43" t="b" cm="1">
        <f t="array" ref="AF812">IFERROR(_xlfn.BYROW(TRACK_TYPES[[#This Row],[TRACK_TYPE_NARROW_GAUGE_RAILTYPE_OHLE]:[TRACK_TYPE_NARROW_GAUGE_RAILTYPE_NONE]],_xlfn.LAMBDA(_xlpm.r,OR(_xlpm.r))),FALSE)</f>
        <v>1</v>
      </c>
      <c r="AG812" s="43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1786</v>
      </c>
      <c r="B813" s="45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43" t="b" cm="1">
        <f t="array" ref="AE813">IFERROR(_xlfn.BYROW(TRACK_TYPES[[#This Row],[TRACK_TYPE_STANDARD_GAUGE_RAILTYPE_OHLE]:[TRACK_TYPE_STANDARD_GAUGE_RAILTYPE_NONE]],_xlfn.LAMBDA(_xlpm.r,OR(_xlpm.r))),FALSE)</f>
        <v>0</v>
      </c>
      <c r="AF813" s="43" t="b" cm="1">
        <f t="array" ref="AF813">IFERROR(_xlfn.BYROW(TRACK_TYPES[[#This Row],[TRACK_TYPE_NARROW_GAUGE_RAILTYPE_OHLE]:[TRACK_TYPE_NARROW_GAUGE_RAILTYPE_NONE]],_xlfn.LAMBDA(_xlpm.r,OR(_xlpm.r))),FALSE)</f>
        <v>0</v>
      </c>
      <c r="AG813" s="43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3360</v>
      </c>
      <c r="B814" s="45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43" t="b" cm="1">
        <f t="array" ref="AE814">IFERROR(_xlfn.BYROW(TRACK_TYPES[[#This Row],[TRACK_TYPE_STANDARD_GAUGE_RAILTYPE_OHLE]:[TRACK_TYPE_STANDARD_GAUGE_RAILTYPE_NONE]],_xlfn.LAMBDA(_xlpm.r,OR(_xlpm.r))),FALSE)</f>
        <v>1</v>
      </c>
      <c r="AF814" s="43" t="b" cm="1">
        <f t="array" ref="AF814">IFERROR(_xlfn.BYROW(TRACK_TYPES[[#This Row],[TRACK_TYPE_NARROW_GAUGE_RAILTYPE_OHLE]:[TRACK_TYPE_NARROW_GAUGE_RAILTYPE_NONE]],_xlfn.LAMBDA(_xlpm.r,OR(_xlpm.r))),FALSE)</f>
        <v>0</v>
      </c>
      <c r="AG814" s="43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3361</v>
      </c>
      <c r="B815" s="45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43" t="b" cm="1">
        <f t="array" ref="AE815">IFERROR(_xlfn.BYROW(TRACK_TYPES[[#This Row],[TRACK_TYPE_STANDARD_GAUGE_RAILTYPE_OHLE]:[TRACK_TYPE_STANDARD_GAUGE_RAILTYPE_NONE]],_xlfn.LAMBDA(_xlpm.r,OR(_xlpm.r))),FALSE)</f>
        <v>1</v>
      </c>
      <c r="AF815" s="43" t="b" cm="1">
        <f t="array" ref="AF815">IFERROR(_xlfn.BYROW(TRACK_TYPES[[#This Row],[TRACK_TYPE_NARROW_GAUGE_RAILTYPE_OHLE]:[TRACK_TYPE_NARROW_GAUGE_RAILTYPE_NONE]],_xlfn.LAMBDA(_xlpm.r,OR(_xlpm.r))),FALSE)</f>
        <v>0</v>
      </c>
      <c r="AG815" s="43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3362</v>
      </c>
      <c r="B816" s="45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43" t="b" cm="1">
        <f t="array" ref="AE816">IFERROR(_xlfn.BYROW(TRACK_TYPES[[#This Row],[TRACK_TYPE_STANDARD_GAUGE_RAILTYPE_OHLE]:[TRACK_TYPE_STANDARD_GAUGE_RAILTYPE_NONE]],_xlfn.LAMBDA(_xlpm.r,OR(_xlpm.r))),FALSE)</f>
        <v>1</v>
      </c>
      <c r="AF816" s="43" t="b" cm="1">
        <f t="array" ref="AF816">IFERROR(_xlfn.BYROW(TRACK_TYPES[[#This Row],[TRACK_TYPE_NARROW_GAUGE_RAILTYPE_OHLE]:[TRACK_TYPE_NARROW_GAUGE_RAILTYPE_NONE]],_xlfn.LAMBDA(_xlpm.r,OR(_xlpm.r))),FALSE)</f>
        <v>0</v>
      </c>
      <c r="AG816" s="43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3363</v>
      </c>
      <c r="B817" s="45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43" t="b" cm="1">
        <f t="array" ref="AE817">IFERROR(_xlfn.BYROW(TRACK_TYPES[[#This Row],[TRACK_TYPE_STANDARD_GAUGE_RAILTYPE_OHLE]:[TRACK_TYPE_STANDARD_GAUGE_RAILTYPE_NONE]],_xlfn.LAMBDA(_xlpm.r,OR(_xlpm.r))),FALSE)</f>
        <v>1</v>
      </c>
      <c r="AF817" s="43" t="b" cm="1">
        <f t="array" ref="AF817">IFERROR(_xlfn.BYROW(TRACK_TYPES[[#This Row],[TRACK_TYPE_NARROW_GAUGE_RAILTYPE_OHLE]:[TRACK_TYPE_NARROW_GAUGE_RAILTYPE_NONE]],_xlfn.LAMBDA(_xlpm.r,OR(_xlpm.r))),FALSE)</f>
        <v>0</v>
      </c>
      <c r="AG817" s="43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3364</v>
      </c>
      <c r="B818" s="45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43" t="b" cm="1">
        <f t="array" ref="AE818">IFERROR(_xlfn.BYROW(TRACK_TYPES[[#This Row],[TRACK_TYPE_STANDARD_GAUGE_RAILTYPE_OHLE]:[TRACK_TYPE_STANDARD_GAUGE_RAILTYPE_NONE]],_xlfn.LAMBDA(_xlpm.r,OR(_xlpm.r))),FALSE)</f>
        <v>1</v>
      </c>
      <c r="AF818" s="43" t="b" cm="1">
        <f t="array" ref="AF818">IFERROR(_xlfn.BYROW(TRACK_TYPES[[#This Row],[TRACK_TYPE_NARROW_GAUGE_RAILTYPE_OHLE]:[TRACK_TYPE_NARROW_GAUGE_RAILTYPE_NONE]],_xlfn.LAMBDA(_xlpm.r,OR(_xlpm.r))),FALSE)</f>
        <v>0</v>
      </c>
      <c r="AG818" s="43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3365</v>
      </c>
      <c r="B819" s="45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43" t="b" cm="1">
        <f t="array" ref="AE819">IFERROR(_xlfn.BYROW(TRACK_TYPES[[#This Row],[TRACK_TYPE_STANDARD_GAUGE_RAILTYPE_OHLE]:[TRACK_TYPE_STANDARD_GAUGE_RAILTYPE_NONE]],_xlfn.LAMBDA(_xlpm.r,OR(_xlpm.r))),FALSE)</f>
        <v>1</v>
      </c>
      <c r="AF819" s="43" t="b" cm="1">
        <f t="array" ref="AF819">IFERROR(_xlfn.BYROW(TRACK_TYPES[[#This Row],[TRACK_TYPE_NARROW_GAUGE_RAILTYPE_OHLE]:[TRACK_TYPE_NARROW_GAUGE_RAILTYPE_NONE]],_xlfn.LAMBDA(_xlpm.r,OR(_xlpm.r))),FALSE)</f>
        <v>0</v>
      </c>
      <c r="AG819" s="43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3366</v>
      </c>
      <c r="B820" s="45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43" t="b" cm="1">
        <f t="array" ref="AE820">IFERROR(_xlfn.BYROW(TRACK_TYPES[[#This Row],[TRACK_TYPE_STANDARD_GAUGE_RAILTYPE_OHLE]:[TRACK_TYPE_STANDARD_GAUGE_RAILTYPE_NONE]],_xlfn.LAMBDA(_xlpm.r,OR(_xlpm.r))),FALSE)</f>
        <v>1</v>
      </c>
      <c r="AF820" s="43" t="b" cm="1">
        <f t="array" ref="AF820">IFERROR(_xlfn.BYROW(TRACK_TYPES[[#This Row],[TRACK_TYPE_NARROW_GAUGE_RAILTYPE_OHLE]:[TRACK_TYPE_NARROW_GAUGE_RAILTYPE_NONE]],_xlfn.LAMBDA(_xlpm.r,OR(_xlpm.r))),FALSE)</f>
        <v>0</v>
      </c>
      <c r="AG820" s="43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3367</v>
      </c>
      <c r="B821" s="45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43" t="b" cm="1">
        <f t="array" ref="AE821">IFERROR(_xlfn.BYROW(TRACK_TYPES[[#This Row],[TRACK_TYPE_STANDARD_GAUGE_RAILTYPE_OHLE]:[TRACK_TYPE_STANDARD_GAUGE_RAILTYPE_NONE]],_xlfn.LAMBDA(_xlpm.r,OR(_xlpm.r))),FALSE)</f>
        <v>0</v>
      </c>
      <c r="AF821" s="43" t="b" cm="1">
        <f t="array" ref="AF821">IFERROR(_xlfn.BYROW(TRACK_TYPES[[#This Row],[TRACK_TYPE_NARROW_GAUGE_RAILTYPE_OHLE]:[TRACK_TYPE_NARROW_GAUGE_RAILTYPE_NONE]],_xlfn.LAMBDA(_xlpm.r,OR(_xlpm.r))),FALSE)</f>
        <v>0</v>
      </c>
      <c r="AG821" s="43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3368</v>
      </c>
      <c r="B822" s="45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43" t="b" cm="1">
        <f t="array" ref="AE822">IFERROR(_xlfn.BYROW(TRACK_TYPES[[#This Row],[TRACK_TYPE_STANDARD_GAUGE_RAILTYPE_OHLE]:[TRACK_TYPE_STANDARD_GAUGE_RAILTYPE_NONE]],_xlfn.LAMBDA(_xlpm.r,OR(_xlpm.r))),FALSE)</f>
        <v>0</v>
      </c>
      <c r="AF822" s="43" t="b" cm="1">
        <f t="array" ref="AF822">IFERROR(_xlfn.BYROW(TRACK_TYPES[[#This Row],[TRACK_TYPE_NARROW_GAUGE_RAILTYPE_OHLE]:[TRACK_TYPE_NARROW_GAUGE_RAILTYPE_NONE]],_xlfn.LAMBDA(_xlpm.r,OR(_xlpm.r))),FALSE)</f>
        <v>0</v>
      </c>
      <c r="AG822" s="43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3369</v>
      </c>
      <c r="B823" s="45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43" t="b" cm="1">
        <f t="array" ref="AE823">IFERROR(_xlfn.BYROW(TRACK_TYPES[[#This Row],[TRACK_TYPE_STANDARD_GAUGE_RAILTYPE_OHLE]:[TRACK_TYPE_STANDARD_GAUGE_RAILTYPE_NONE]],_xlfn.LAMBDA(_xlpm.r,OR(_xlpm.r))),FALSE)</f>
        <v>0</v>
      </c>
      <c r="AF823" s="43" t="b" cm="1">
        <f t="array" ref="AF823">IFERROR(_xlfn.BYROW(TRACK_TYPES[[#This Row],[TRACK_TYPE_NARROW_GAUGE_RAILTYPE_OHLE]:[TRACK_TYPE_NARROW_GAUGE_RAILTYPE_NONE]],_xlfn.LAMBDA(_xlpm.r,OR(_xlpm.r))),FALSE)</f>
        <v>0</v>
      </c>
      <c r="AG823" s="43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3370</v>
      </c>
      <c r="B824" s="45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43" t="b" cm="1">
        <f t="array" ref="AE824">IFERROR(_xlfn.BYROW(TRACK_TYPES[[#This Row],[TRACK_TYPE_STANDARD_GAUGE_RAILTYPE_OHLE]:[TRACK_TYPE_STANDARD_GAUGE_RAILTYPE_NONE]],_xlfn.LAMBDA(_xlpm.r,OR(_xlpm.r))),FALSE)</f>
        <v>1</v>
      </c>
      <c r="AF824" s="43" t="b" cm="1">
        <f t="array" ref="AF824">IFERROR(_xlfn.BYROW(TRACK_TYPES[[#This Row],[TRACK_TYPE_NARROW_GAUGE_RAILTYPE_OHLE]:[TRACK_TYPE_NARROW_GAUGE_RAILTYPE_NONE]],_xlfn.LAMBDA(_xlpm.r,OR(_xlpm.r))),FALSE)</f>
        <v>0</v>
      </c>
      <c r="AG824" s="43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3371</v>
      </c>
      <c r="B825" s="45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43" t="b" cm="1">
        <f t="array" ref="AE825">IFERROR(_xlfn.BYROW(TRACK_TYPES[[#This Row],[TRACK_TYPE_STANDARD_GAUGE_RAILTYPE_OHLE]:[TRACK_TYPE_STANDARD_GAUGE_RAILTYPE_NONE]],_xlfn.LAMBDA(_xlpm.r,OR(_xlpm.r))),FALSE)</f>
        <v>1</v>
      </c>
      <c r="AF825" s="43" t="b" cm="1">
        <f t="array" ref="AF825">IFERROR(_xlfn.BYROW(TRACK_TYPES[[#This Row],[TRACK_TYPE_NARROW_GAUGE_RAILTYPE_OHLE]:[TRACK_TYPE_NARROW_GAUGE_RAILTYPE_NONE]],_xlfn.LAMBDA(_xlpm.r,OR(_xlpm.r))),FALSE)</f>
        <v>0</v>
      </c>
      <c r="AG825" s="43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3695</v>
      </c>
      <c r="B826" s="45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43" t="b" cm="1">
        <f t="array" ref="AE826">IFERROR(_xlfn.BYROW(TRACK_TYPES[[#This Row],[TRACK_TYPE_STANDARD_GAUGE_RAILTYPE_OHLE]:[TRACK_TYPE_STANDARD_GAUGE_RAILTYPE_NONE]],_xlfn.LAMBDA(_xlpm.r,OR(_xlpm.r))),FALSE)</f>
        <v>1</v>
      </c>
      <c r="AF826" s="43" t="b" cm="1">
        <f t="array" ref="AF826">IFERROR(_xlfn.BYROW(TRACK_TYPES[[#This Row],[TRACK_TYPE_NARROW_GAUGE_RAILTYPE_OHLE]:[TRACK_TYPE_NARROW_GAUGE_RAILTYPE_NONE]],_xlfn.LAMBDA(_xlpm.r,OR(_xlpm.r))),FALSE)</f>
        <v>0</v>
      </c>
      <c r="AG826" s="43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3372</v>
      </c>
      <c r="B827" s="45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43" t="b" cm="1">
        <f t="array" ref="AE827">IFERROR(_xlfn.BYROW(TRACK_TYPES[[#This Row],[TRACK_TYPE_STANDARD_GAUGE_RAILTYPE_OHLE]:[TRACK_TYPE_STANDARD_GAUGE_RAILTYPE_NONE]],_xlfn.LAMBDA(_xlpm.r,OR(_xlpm.r))),FALSE)</f>
        <v>1</v>
      </c>
      <c r="AF827" s="43" t="b" cm="1">
        <f t="array" ref="AF827">IFERROR(_xlfn.BYROW(TRACK_TYPES[[#This Row],[TRACK_TYPE_NARROW_GAUGE_RAILTYPE_OHLE]:[TRACK_TYPE_NARROW_GAUGE_RAILTYPE_NONE]],_xlfn.LAMBDA(_xlpm.r,OR(_xlpm.r))),FALSE)</f>
        <v>0</v>
      </c>
      <c r="AG827" s="43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3373</v>
      </c>
      <c r="B828" s="45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43" t="b" cm="1">
        <f t="array" ref="AE828">IFERROR(_xlfn.BYROW(TRACK_TYPES[[#This Row],[TRACK_TYPE_STANDARD_GAUGE_RAILTYPE_OHLE]:[TRACK_TYPE_STANDARD_GAUGE_RAILTYPE_NONE]],_xlfn.LAMBDA(_xlpm.r,OR(_xlpm.r))),FALSE)</f>
        <v>0</v>
      </c>
      <c r="AF828" s="43" t="b" cm="1">
        <f t="array" ref="AF828">IFERROR(_xlfn.BYROW(TRACK_TYPES[[#This Row],[TRACK_TYPE_NARROW_GAUGE_RAILTYPE_OHLE]:[TRACK_TYPE_NARROW_GAUGE_RAILTYPE_NONE]],_xlfn.LAMBDA(_xlpm.r,OR(_xlpm.r))),FALSE)</f>
        <v>0</v>
      </c>
      <c r="AG828" s="43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3374</v>
      </c>
      <c r="B829" s="45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43" t="b" cm="1">
        <f t="array" ref="AE829">IFERROR(_xlfn.BYROW(TRACK_TYPES[[#This Row],[TRACK_TYPE_STANDARD_GAUGE_RAILTYPE_OHLE]:[TRACK_TYPE_STANDARD_GAUGE_RAILTYPE_NONE]],_xlfn.LAMBDA(_xlpm.r,OR(_xlpm.r))),FALSE)</f>
        <v>0</v>
      </c>
      <c r="AF829" s="43" t="b" cm="1">
        <f t="array" ref="AF829">IFERROR(_xlfn.BYROW(TRACK_TYPES[[#This Row],[TRACK_TYPE_NARROW_GAUGE_RAILTYPE_OHLE]:[TRACK_TYPE_NARROW_GAUGE_RAILTYPE_NONE]],_xlfn.LAMBDA(_xlpm.r,OR(_xlpm.r))),FALSE)</f>
        <v>0</v>
      </c>
      <c r="AG829" s="43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3375</v>
      </c>
      <c r="B830" s="45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43" t="b" cm="1">
        <f t="array" ref="AE830">IFERROR(_xlfn.BYROW(TRACK_TYPES[[#This Row],[TRACK_TYPE_STANDARD_GAUGE_RAILTYPE_OHLE]:[TRACK_TYPE_STANDARD_GAUGE_RAILTYPE_NONE]],_xlfn.LAMBDA(_xlpm.r,OR(_xlpm.r))),FALSE)</f>
        <v>0</v>
      </c>
      <c r="AF830" s="43" t="b" cm="1">
        <f t="array" ref="AF830">IFERROR(_xlfn.BYROW(TRACK_TYPES[[#This Row],[TRACK_TYPE_NARROW_GAUGE_RAILTYPE_OHLE]:[TRACK_TYPE_NARROW_GAUGE_RAILTYPE_NONE]],_xlfn.LAMBDA(_xlpm.r,OR(_xlpm.r))),FALSE)</f>
        <v>0</v>
      </c>
      <c r="AG830" s="43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3376</v>
      </c>
      <c r="B831" s="45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43" t="b" cm="1">
        <f t="array" ref="AE831">IFERROR(_xlfn.BYROW(TRACK_TYPES[[#This Row],[TRACK_TYPE_STANDARD_GAUGE_RAILTYPE_OHLE]:[TRACK_TYPE_STANDARD_GAUGE_RAILTYPE_NONE]],_xlfn.LAMBDA(_xlpm.r,OR(_xlpm.r))),FALSE)</f>
        <v>0</v>
      </c>
      <c r="AF831" s="43" t="b" cm="1">
        <f t="array" ref="AF831">IFERROR(_xlfn.BYROW(TRACK_TYPES[[#This Row],[TRACK_TYPE_NARROW_GAUGE_RAILTYPE_OHLE]:[TRACK_TYPE_NARROW_GAUGE_RAILTYPE_NONE]],_xlfn.LAMBDA(_xlpm.r,OR(_xlpm.r))),FALSE)</f>
        <v>0</v>
      </c>
      <c r="AG831" s="43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3377</v>
      </c>
      <c r="B832" s="45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43" t="b" cm="1">
        <f t="array" ref="AE832">IFERROR(_xlfn.BYROW(TRACK_TYPES[[#This Row],[TRACK_TYPE_STANDARD_GAUGE_RAILTYPE_OHLE]:[TRACK_TYPE_STANDARD_GAUGE_RAILTYPE_NONE]],_xlfn.LAMBDA(_xlpm.r,OR(_xlpm.r))),FALSE)</f>
        <v>1</v>
      </c>
      <c r="AF832" s="43" t="b" cm="1">
        <f t="array" ref="AF832">IFERROR(_xlfn.BYROW(TRACK_TYPES[[#This Row],[TRACK_TYPE_NARROW_GAUGE_RAILTYPE_OHLE]:[TRACK_TYPE_NARROW_GAUGE_RAILTYPE_NONE]],_xlfn.LAMBDA(_xlpm.r,OR(_xlpm.r))),FALSE)</f>
        <v>0</v>
      </c>
      <c r="AG832" s="43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3378</v>
      </c>
      <c r="B833" s="45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43" t="b" cm="1">
        <f t="array" ref="AE833">IFERROR(_xlfn.BYROW(TRACK_TYPES[[#This Row],[TRACK_TYPE_STANDARD_GAUGE_RAILTYPE_OHLE]:[TRACK_TYPE_STANDARD_GAUGE_RAILTYPE_NONE]],_xlfn.LAMBDA(_xlpm.r,OR(_xlpm.r))),FALSE)</f>
        <v>1</v>
      </c>
      <c r="AF833" s="43" t="b" cm="1">
        <f t="array" ref="AF833">IFERROR(_xlfn.BYROW(TRACK_TYPES[[#This Row],[TRACK_TYPE_NARROW_GAUGE_RAILTYPE_OHLE]:[TRACK_TYPE_NARROW_GAUGE_RAILTYPE_NONE]],_xlfn.LAMBDA(_xlpm.r,OR(_xlpm.r))),FALSE)</f>
        <v>0</v>
      </c>
      <c r="AG833" s="43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3379</v>
      </c>
      <c r="B834" s="45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43" t="b" cm="1">
        <f t="array" ref="AE834">IFERROR(_xlfn.BYROW(TRACK_TYPES[[#This Row],[TRACK_TYPE_STANDARD_GAUGE_RAILTYPE_OHLE]:[TRACK_TYPE_STANDARD_GAUGE_RAILTYPE_NONE]],_xlfn.LAMBDA(_xlpm.r,OR(_xlpm.r))),FALSE)</f>
        <v>1</v>
      </c>
      <c r="AF834" s="43" t="b" cm="1">
        <f t="array" ref="AF834">IFERROR(_xlfn.BYROW(TRACK_TYPES[[#This Row],[TRACK_TYPE_NARROW_GAUGE_RAILTYPE_OHLE]:[TRACK_TYPE_NARROW_GAUGE_RAILTYPE_NONE]],_xlfn.LAMBDA(_xlpm.r,OR(_xlpm.r))),FALSE)</f>
        <v>0</v>
      </c>
      <c r="AG834" s="43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3380</v>
      </c>
      <c r="B835" s="45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43" t="b" cm="1">
        <f t="array" ref="AE835">IFERROR(_xlfn.BYROW(TRACK_TYPES[[#This Row],[TRACK_TYPE_STANDARD_GAUGE_RAILTYPE_OHLE]:[TRACK_TYPE_STANDARD_GAUGE_RAILTYPE_NONE]],_xlfn.LAMBDA(_xlpm.r,OR(_xlpm.r))),FALSE)</f>
        <v>1</v>
      </c>
      <c r="AF835" s="43" t="b" cm="1">
        <f t="array" ref="AF835">IFERROR(_xlfn.BYROW(TRACK_TYPES[[#This Row],[TRACK_TYPE_NARROW_GAUGE_RAILTYPE_OHLE]:[TRACK_TYPE_NARROW_GAUGE_RAILTYPE_NONE]],_xlfn.LAMBDA(_xlpm.r,OR(_xlpm.r))),FALSE)</f>
        <v>1</v>
      </c>
      <c r="AG835" s="43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3381</v>
      </c>
      <c r="B836" s="45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43" t="b" cm="1">
        <f t="array" ref="AE836">IFERROR(_xlfn.BYROW(TRACK_TYPES[[#This Row],[TRACK_TYPE_STANDARD_GAUGE_RAILTYPE_OHLE]:[TRACK_TYPE_STANDARD_GAUGE_RAILTYPE_NONE]],_xlfn.LAMBDA(_xlpm.r,OR(_xlpm.r))),FALSE)</f>
        <v>1</v>
      </c>
      <c r="AF836" s="43" t="b" cm="1">
        <f t="array" ref="AF836">IFERROR(_xlfn.BYROW(TRACK_TYPES[[#This Row],[TRACK_TYPE_NARROW_GAUGE_RAILTYPE_OHLE]:[TRACK_TYPE_NARROW_GAUGE_RAILTYPE_NONE]],_xlfn.LAMBDA(_xlpm.r,OR(_xlpm.r))),FALSE)</f>
        <v>0</v>
      </c>
      <c r="AG836" s="43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3382</v>
      </c>
      <c r="B837" s="45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43" t="b" cm="1">
        <f t="array" ref="AE837">IFERROR(_xlfn.BYROW(TRACK_TYPES[[#This Row],[TRACK_TYPE_STANDARD_GAUGE_RAILTYPE_OHLE]:[TRACK_TYPE_STANDARD_GAUGE_RAILTYPE_NONE]],_xlfn.LAMBDA(_xlpm.r,OR(_xlpm.r))),FALSE)</f>
        <v>1</v>
      </c>
      <c r="AF837" s="43" t="b" cm="1">
        <f t="array" ref="AF837">IFERROR(_xlfn.BYROW(TRACK_TYPES[[#This Row],[TRACK_TYPE_NARROW_GAUGE_RAILTYPE_OHLE]:[TRACK_TYPE_NARROW_GAUGE_RAILTYPE_NONE]],_xlfn.LAMBDA(_xlpm.r,OR(_xlpm.r))),FALSE)</f>
        <v>0</v>
      </c>
      <c r="AG837" s="43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3383</v>
      </c>
      <c r="B838" s="45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43" t="b" cm="1">
        <f t="array" ref="AE838">IFERROR(_xlfn.BYROW(TRACK_TYPES[[#This Row],[TRACK_TYPE_STANDARD_GAUGE_RAILTYPE_OHLE]:[TRACK_TYPE_STANDARD_GAUGE_RAILTYPE_NONE]],_xlfn.LAMBDA(_xlpm.r,OR(_xlpm.r))),FALSE)</f>
        <v>1</v>
      </c>
      <c r="AF838" s="43" t="b" cm="1">
        <f t="array" ref="AF838">IFERROR(_xlfn.BYROW(TRACK_TYPES[[#This Row],[TRACK_TYPE_NARROW_GAUGE_RAILTYPE_OHLE]:[TRACK_TYPE_NARROW_GAUGE_RAILTYPE_NONE]],_xlfn.LAMBDA(_xlpm.r,OR(_xlpm.r))),FALSE)</f>
        <v>0</v>
      </c>
      <c r="AG838" s="43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3384</v>
      </c>
      <c r="B839" s="45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43" t="b" cm="1">
        <f t="array" ref="AE839">IFERROR(_xlfn.BYROW(TRACK_TYPES[[#This Row],[TRACK_TYPE_STANDARD_GAUGE_RAILTYPE_OHLE]:[TRACK_TYPE_STANDARD_GAUGE_RAILTYPE_NONE]],_xlfn.LAMBDA(_xlpm.r,OR(_xlpm.r))),FALSE)</f>
        <v>1</v>
      </c>
      <c r="AF839" s="43" t="b" cm="1">
        <f t="array" ref="AF839">IFERROR(_xlfn.BYROW(TRACK_TYPES[[#This Row],[TRACK_TYPE_NARROW_GAUGE_RAILTYPE_OHLE]:[TRACK_TYPE_NARROW_GAUGE_RAILTYPE_NONE]],_xlfn.LAMBDA(_xlpm.r,OR(_xlpm.r))),FALSE)</f>
        <v>0</v>
      </c>
      <c r="AG839" s="43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3385</v>
      </c>
      <c r="B840" s="45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43" t="b" cm="1">
        <f t="array" ref="AE840">IFERROR(_xlfn.BYROW(TRACK_TYPES[[#This Row],[TRACK_TYPE_STANDARD_GAUGE_RAILTYPE_OHLE]:[TRACK_TYPE_STANDARD_GAUGE_RAILTYPE_NONE]],_xlfn.LAMBDA(_xlpm.r,OR(_xlpm.r))),FALSE)</f>
        <v>1</v>
      </c>
      <c r="AF840" s="43" t="b" cm="1">
        <f t="array" ref="AF840">IFERROR(_xlfn.BYROW(TRACK_TYPES[[#This Row],[TRACK_TYPE_NARROW_GAUGE_RAILTYPE_OHLE]:[TRACK_TYPE_NARROW_GAUGE_RAILTYPE_NONE]],_xlfn.LAMBDA(_xlpm.r,OR(_xlpm.r))),FALSE)</f>
        <v>0</v>
      </c>
      <c r="AG840" s="43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3386</v>
      </c>
      <c r="B841" s="45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43" t="b" cm="1">
        <f t="array" ref="AE841">IFERROR(_xlfn.BYROW(TRACK_TYPES[[#This Row],[TRACK_TYPE_STANDARD_GAUGE_RAILTYPE_OHLE]:[TRACK_TYPE_STANDARD_GAUGE_RAILTYPE_NONE]],_xlfn.LAMBDA(_xlpm.r,OR(_xlpm.r))),FALSE)</f>
        <v>1</v>
      </c>
      <c r="AF841" s="43" t="b" cm="1">
        <f t="array" ref="AF841">IFERROR(_xlfn.BYROW(TRACK_TYPES[[#This Row],[TRACK_TYPE_NARROW_GAUGE_RAILTYPE_OHLE]:[TRACK_TYPE_NARROW_GAUGE_RAILTYPE_NONE]],_xlfn.LAMBDA(_xlpm.r,OR(_xlpm.r))),FALSE)</f>
        <v>0</v>
      </c>
      <c r="AG841" s="43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3387</v>
      </c>
      <c r="B842" s="45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43" t="b" cm="1">
        <f t="array" ref="AE842">IFERROR(_xlfn.BYROW(TRACK_TYPES[[#This Row],[TRACK_TYPE_STANDARD_GAUGE_RAILTYPE_OHLE]:[TRACK_TYPE_STANDARD_GAUGE_RAILTYPE_NONE]],_xlfn.LAMBDA(_xlpm.r,OR(_xlpm.r))),FALSE)</f>
        <v>0</v>
      </c>
      <c r="AF842" s="43" t="b" cm="1">
        <f t="array" ref="AF842">IFERROR(_xlfn.BYROW(TRACK_TYPES[[#This Row],[TRACK_TYPE_NARROW_GAUGE_RAILTYPE_OHLE]:[TRACK_TYPE_NARROW_GAUGE_RAILTYPE_NONE]],_xlfn.LAMBDA(_xlpm.r,OR(_xlpm.r))),FALSE)</f>
        <v>0</v>
      </c>
      <c r="AG842" s="43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3388</v>
      </c>
      <c r="B843" s="45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43" t="b" cm="1">
        <f t="array" ref="AE843">IFERROR(_xlfn.BYROW(TRACK_TYPES[[#This Row],[TRACK_TYPE_STANDARD_GAUGE_RAILTYPE_OHLE]:[TRACK_TYPE_STANDARD_GAUGE_RAILTYPE_NONE]],_xlfn.LAMBDA(_xlpm.r,OR(_xlpm.r))),FALSE)</f>
        <v>1</v>
      </c>
      <c r="AF843" s="43" t="b" cm="1">
        <f t="array" ref="AF843">IFERROR(_xlfn.BYROW(TRACK_TYPES[[#This Row],[TRACK_TYPE_NARROW_GAUGE_RAILTYPE_OHLE]:[TRACK_TYPE_NARROW_GAUGE_RAILTYPE_NONE]],_xlfn.LAMBDA(_xlpm.r,OR(_xlpm.r))),FALSE)</f>
        <v>0</v>
      </c>
      <c r="AG843" s="43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3389</v>
      </c>
      <c r="B844" s="45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43" t="b" cm="1">
        <f t="array" ref="AE844">IFERROR(_xlfn.BYROW(TRACK_TYPES[[#This Row],[TRACK_TYPE_STANDARD_GAUGE_RAILTYPE_OHLE]:[TRACK_TYPE_STANDARD_GAUGE_RAILTYPE_NONE]],_xlfn.LAMBDA(_xlpm.r,OR(_xlpm.r))),FALSE)</f>
        <v>0</v>
      </c>
      <c r="AF844" s="43" t="b" cm="1">
        <f t="array" ref="AF844">IFERROR(_xlfn.BYROW(TRACK_TYPES[[#This Row],[TRACK_TYPE_NARROW_GAUGE_RAILTYPE_OHLE]:[TRACK_TYPE_NARROW_GAUGE_RAILTYPE_NONE]],_xlfn.LAMBDA(_xlpm.r,OR(_xlpm.r))),FALSE)</f>
        <v>0</v>
      </c>
      <c r="AG844" s="43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3390</v>
      </c>
      <c r="B845" s="45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43" t="b" cm="1">
        <f t="array" ref="AE845">IFERROR(_xlfn.BYROW(TRACK_TYPES[[#This Row],[TRACK_TYPE_STANDARD_GAUGE_RAILTYPE_OHLE]:[TRACK_TYPE_STANDARD_GAUGE_RAILTYPE_NONE]],_xlfn.LAMBDA(_xlpm.r,OR(_xlpm.r))),FALSE)</f>
        <v>1</v>
      </c>
      <c r="AF845" s="43" t="b" cm="1">
        <f t="array" ref="AF845">IFERROR(_xlfn.BYROW(TRACK_TYPES[[#This Row],[TRACK_TYPE_NARROW_GAUGE_RAILTYPE_OHLE]:[TRACK_TYPE_NARROW_GAUGE_RAILTYPE_NONE]],_xlfn.LAMBDA(_xlpm.r,OR(_xlpm.r))),FALSE)</f>
        <v>0</v>
      </c>
      <c r="AG845" s="43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3391</v>
      </c>
      <c r="B846" s="45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43" t="b" cm="1">
        <f t="array" ref="AE846">IFERROR(_xlfn.BYROW(TRACK_TYPES[[#This Row],[TRACK_TYPE_STANDARD_GAUGE_RAILTYPE_OHLE]:[TRACK_TYPE_STANDARD_GAUGE_RAILTYPE_NONE]],_xlfn.LAMBDA(_xlpm.r,OR(_xlpm.r))),FALSE)</f>
        <v>1</v>
      </c>
      <c r="AF846" s="43" t="b" cm="1">
        <f t="array" ref="AF846">IFERROR(_xlfn.BYROW(TRACK_TYPES[[#This Row],[TRACK_TYPE_NARROW_GAUGE_RAILTYPE_OHLE]:[TRACK_TYPE_NARROW_GAUGE_RAILTYPE_NONE]],_xlfn.LAMBDA(_xlpm.r,OR(_xlpm.r))),FALSE)</f>
        <v>1</v>
      </c>
      <c r="AG846" s="43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3392</v>
      </c>
      <c r="B847" s="45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43" t="b" cm="1">
        <f t="array" ref="AE847">IFERROR(_xlfn.BYROW(TRACK_TYPES[[#This Row],[TRACK_TYPE_STANDARD_GAUGE_RAILTYPE_OHLE]:[TRACK_TYPE_STANDARD_GAUGE_RAILTYPE_NONE]],_xlfn.LAMBDA(_xlpm.r,OR(_xlpm.r))),FALSE)</f>
        <v>1</v>
      </c>
      <c r="AF847" s="43" t="b" cm="1">
        <f t="array" ref="AF847">IFERROR(_xlfn.BYROW(TRACK_TYPES[[#This Row],[TRACK_TYPE_NARROW_GAUGE_RAILTYPE_OHLE]:[TRACK_TYPE_NARROW_GAUGE_RAILTYPE_NONE]],_xlfn.LAMBDA(_xlpm.r,OR(_xlpm.r))),FALSE)</f>
        <v>1</v>
      </c>
      <c r="AG847" s="43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3393</v>
      </c>
      <c r="B848" s="45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43" t="b" cm="1">
        <f t="array" ref="AE848">IFERROR(_xlfn.BYROW(TRACK_TYPES[[#This Row],[TRACK_TYPE_STANDARD_GAUGE_RAILTYPE_OHLE]:[TRACK_TYPE_STANDARD_GAUGE_RAILTYPE_NONE]],_xlfn.LAMBDA(_xlpm.r,OR(_xlpm.r))),FALSE)</f>
        <v>1</v>
      </c>
      <c r="AF848" s="43" t="b" cm="1">
        <f t="array" ref="AF848">IFERROR(_xlfn.BYROW(TRACK_TYPES[[#This Row],[TRACK_TYPE_NARROW_GAUGE_RAILTYPE_OHLE]:[TRACK_TYPE_NARROW_GAUGE_RAILTYPE_NONE]],_xlfn.LAMBDA(_xlpm.r,OR(_xlpm.r))),FALSE)</f>
        <v>0</v>
      </c>
      <c r="AG848" s="43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3539</v>
      </c>
      <c r="B849" s="45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43" t="b" cm="1">
        <f t="array" ref="AE849">IFERROR(_xlfn.BYROW(TRACK_TYPES[[#This Row],[TRACK_TYPE_STANDARD_GAUGE_RAILTYPE_OHLE]:[TRACK_TYPE_STANDARD_GAUGE_RAILTYPE_NONE]],_xlfn.LAMBDA(_xlpm.r,OR(_xlpm.r))),FALSE)</f>
        <v>0</v>
      </c>
      <c r="AF849" s="43" t="b" cm="1">
        <f t="array" ref="AF849">IFERROR(_xlfn.BYROW(TRACK_TYPES[[#This Row],[TRACK_TYPE_NARROW_GAUGE_RAILTYPE_OHLE]:[TRACK_TYPE_NARROW_GAUGE_RAILTYPE_NONE]],_xlfn.LAMBDA(_xlpm.r,OR(_xlpm.r))),FALSE)</f>
        <v>0</v>
      </c>
      <c r="AG849" s="43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3394</v>
      </c>
      <c r="B850" s="45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43" t="b" cm="1">
        <f t="array" ref="AE850">IFERROR(_xlfn.BYROW(TRACK_TYPES[[#This Row],[TRACK_TYPE_STANDARD_GAUGE_RAILTYPE_OHLE]:[TRACK_TYPE_STANDARD_GAUGE_RAILTYPE_NONE]],_xlfn.LAMBDA(_xlpm.r,OR(_xlpm.r))),FALSE)</f>
        <v>1</v>
      </c>
      <c r="AF850" s="43" t="b" cm="1">
        <f t="array" ref="AF850">IFERROR(_xlfn.BYROW(TRACK_TYPES[[#This Row],[TRACK_TYPE_NARROW_GAUGE_RAILTYPE_OHLE]:[TRACK_TYPE_NARROW_GAUGE_RAILTYPE_NONE]],_xlfn.LAMBDA(_xlpm.r,OR(_xlpm.r))),FALSE)</f>
        <v>0</v>
      </c>
      <c r="AG850" s="43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3395</v>
      </c>
      <c r="B851" s="45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43" t="b" cm="1">
        <f t="array" ref="AE851">IFERROR(_xlfn.BYROW(TRACK_TYPES[[#This Row],[TRACK_TYPE_STANDARD_GAUGE_RAILTYPE_OHLE]:[TRACK_TYPE_STANDARD_GAUGE_RAILTYPE_NONE]],_xlfn.LAMBDA(_xlpm.r,OR(_xlpm.r))),FALSE)</f>
        <v>1</v>
      </c>
      <c r="AF851" s="43" t="b" cm="1">
        <f t="array" ref="AF851">IFERROR(_xlfn.BYROW(TRACK_TYPES[[#This Row],[TRACK_TYPE_NARROW_GAUGE_RAILTYPE_OHLE]:[TRACK_TYPE_NARROW_GAUGE_RAILTYPE_NONE]],_xlfn.LAMBDA(_xlpm.r,OR(_xlpm.r))),FALSE)</f>
        <v>0</v>
      </c>
      <c r="AG851" s="43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3396</v>
      </c>
      <c r="B852" s="45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43" t="b" cm="1">
        <f t="array" ref="AE852">IFERROR(_xlfn.BYROW(TRACK_TYPES[[#This Row],[TRACK_TYPE_STANDARD_GAUGE_RAILTYPE_OHLE]:[TRACK_TYPE_STANDARD_GAUGE_RAILTYPE_NONE]],_xlfn.LAMBDA(_xlpm.r,OR(_xlpm.r))),FALSE)</f>
        <v>1</v>
      </c>
      <c r="AF852" s="43" t="b" cm="1">
        <f t="array" ref="AF852">IFERROR(_xlfn.BYROW(TRACK_TYPES[[#This Row],[TRACK_TYPE_NARROW_GAUGE_RAILTYPE_OHLE]:[TRACK_TYPE_NARROW_GAUGE_RAILTYPE_NONE]],_xlfn.LAMBDA(_xlpm.r,OR(_xlpm.r))),FALSE)</f>
        <v>0</v>
      </c>
      <c r="AG852" s="43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3397</v>
      </c>
      <c r="B853" s="45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43" t="b" cm="1">
        <f t="array" ref="AE853">IFERROR(_xlfn.BYROW(TRACK_TYPES[[#This Row],[TRACK_TYPE_STANDARD_GAUGE_RAILTYPE_OHLE]:[TRACK_TYPE_STANDARD_GAUGE_RAILTYPE_NONE]],_xlfn.LAMBDA(_xlpm.r,OR(_xlpm.r))),FALSE)</f>
        <v>1</v>
      </c>
      <c r="AF853" s="43" t="b" cm="1">
        <f t="array" ref="AF853">IFERROR(_xlfn.BYROW(TRACK_TYPES[[#This Row],[TRACK_TYPE_NARROW_GAUGE_RAILTYPE_OHLE]:[TRACK_TYPE_NARROW_GAUGE_RAILTYPE_NONE]],_xlfn.LAMBDA(_xlpm.r,OR(_xlpm.r))),FALSE)</f>
        <v>0</v>
      </c>
      <c r="AG853" s="43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3398</v>
      </c>
      <c r="B854" s="45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43" t="b" cm="1">
        <f t="array" ref="AE854">IFERROR(_xlfn.BYROW(TRACK_TYPES[[#This Row],[TRACK_TYPE_STANDARD_GAUGE_RAILTYPE_OHLE]:[TRACK_TYPE_STANDARD_GAUGE_RAILTYPE_NONE]],_xlfn.LAMBDA(_xlpm.r,OR(_xlpm.r))),FALSE)</f>
        <v>1</v>
      </c>
      <c r="AF854" s="43" t="b" cm="1">
        <f t="array" ref="AF854">IFERROR(_xlfn.BYROW(TRACK_TYPES[[#This Row],[TRACK_TYPE_NARROW_GAUGE_RAILTYPE_OHLE]:[TRACK_TYPE_NARROW_GAUGE_RAILTYPE_NONE]],_xlfn.LAMBDA(_xlpm.r,OR(_xlpm.r))),FALSE)</f>
        <v>0</v>
      </c>
      <c r="AG854" s="43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3399</v>
      </c>
      <c r="B855" s="45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43" t="b" cm="1">
        <f t="array" ref="AE855">IFERROR(_xlfn.BYROW(TRACK_TYPES[[#This Row],[TRACK_TYPE_STANDARD_GAUGE_RAILTYPE_OHLE]:[TRACK_TYPE_STANDARD_GAUGE_RAILTYPE_NONE]],_xlfn.LAMBDA(_xlpm.r,OR(_xlpm.r))),FALSE)</f>
        <v>1</v>
      </c>
      <c r="AF855" s="43" t="b" cm="1">
        <f t="array" ref="AF855">IFERROR(_xlfn.BYROW(TRACK_TYPES[[#This Row],[TRACK_TYPE_NARROW_GAUGE_RAILTYPE_OHLE]:[TRACK_TYPE_NARROW_GAUGE_RAILTYPE_NONE]],_xlfn.LAMBDA(_xlpm.r,OR(_xlpm.r))),FALSE)</f>
        <v>0</v>
      </c>
      <c r="AG855" s="43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3400</v>
      </c>
      <c r="B856" s="45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43" t="b" cm="1">
        <f t="array" ref="AE856">IFERROR(_xlfn.BYROW(TRACK_TYPES[[#This Row],[TRACK_TYPE_STANDARD_GAUGE_RAILTYPE_OHLE]:[TRACK_TYPE_STANDARD_GAUGE_RAILTYPE_NONE]],_xlfn.LAMBDA(_xlpm.r,OR(_xlpm.r))),FALSE)</f>
        <v>1</v>
      </c>
      <c r="AF856" s="43" t="b" cm="1">
        <f t="array" ref="AF856">IFERROR(_xlfn.BYROW(TRACK_TYPES[[#This Row],[TRACK_TYPE_NARROW_GAUGE_RAILTYPE_OHLE]:[TRACK_TYPE_NARROW_GAUGE_RAILTYPE_NONE]],_xlfn.LAMBDA(_xlpm.r,OR(_xlpm.r))),FALSE)</f>
        <v>0</v>
      </c>
      <c r="AG856" s="43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3534</v>
      </c>
      <c r="B857" s="45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43" t="b" cm="1">
        <f t="array" ref="AE857">IFERROR(_xlfn.BYROW(TRACK_TYPES[[#This Row],[TRACK_TYPE_STANDARD_GAUGE_RAILTYPE_OHLE]:[TRACK_TYPE_STANDARD_GAUGE_RAILTYPE_NONE]],_xlfn.LAMBDA(_xlpm.r,OR(_xlpm.r))),FALSE)</f>
        <v>1</v>
      </c>
      <c r="AF857" s="43" t="b" cm="1">
        <f t="array" ref="AF857">IFERROR(_xlfn.BYROW(TRACK_TYPES[[#This Row],[TRACK_TYPE_NARROW_GAUGE_RAILTYPE_OHLE]:[TRACK_TYPE_NARROW_GAUGE_RAILTYPE_NONE]],_xlfn.LAMBDA(_xlpm.r,OR(_xlpm.r))),FALSE)</f>
        <v>0</v>
      </c>
      <c r="AG857" s="43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3535</v>
      </c>
      <c r="B858" s="45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43" t="b" cm="1">
        <f t="array" ref="AE858">IFERROR(_xlfn.BYROW(TRACK_TYPES[[#This Row],[TRACK_TYPE_STANDARD_GAUGE_RAILTYPE_OHLE]:[TRACK_TYPE_STANDARD_GAUGE_RAILTYPE_NONE]],_xlfn.LAMBDA(_xlpm.r,OR(_xlpm.r))),FALSE)</f>
        <v>1</v>
      </c>
      <c r="AF858" s="43" t="b" cm="1">
        <f t="array" ref="AF858">IFERROR(_xlfn.BYROW(TRACK_TYPES[[#This Row],[TRACK_TYPE_NARROW_GAUGE_RAILTYPE_OHLE]:[TRACK_TYPE_NARROW_GAUGE_RAILTYPE_NONE]],_xlfn.LAMBDA(_xlpm.r,OR(_xlpm.r))),FALSE)</f>
        <v>0</v>
      </c>
      <c r="AG858" s="43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3559</v>
      </c>
      <c r="B859" s="45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43" t="b" cm="1">
        <f t="array" ref="AE859">IFERROR(_xlfn.BYROW(TRACK_TYPES[[#This Row],[TRACK_TYPE_STANDARD_GAUGE_RAILTYPE_OHLE]:[TRACK_TYPE_STANDARD_GAUGE_RAILTYPE_NONE]],_xlfn.LAMBDA(_xlpm.r,OR(_xlpm.r))),FALSE)</f>
        <v>1</v>
      </c>
      <c r="AF859" s="43" t="b" cm="1">
        <f t="array" ref="AF859">IFERROR(_xlfn.BYROW(TRACK_TYPES[[#This Row],[TRACK_TYPE_NARROW_GAUGE_RAILTYPE_OHLE]:[TRACK_TYPE_NARROW_GAUGE_RAILTYPE_NONE]],_xlfn.LAMBDA(_xlpm.r,OR(_xlpm.r))),FALSE)</f>
        <v>0</v>
      </c>
      <c r="AG859" s="43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3540</v>
      </c>
      <c r="B860" s="45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43" t="b" cm="1">
        <f t="array" ref="AE860">IFERROR(_xlfn.BYROW(TRACK_TYPES[[#This Row],[TRACK_TYPE_STANDARD_GAUGE_RAILTYPE_OHLE]:[TRACK_TYPE_STANDARD_GAUGE_RAILTYPE_NONE]],_xlfn.LAMBDA(_xlpm.r,OR(_xlpm.r))),FALSE)</f>
        <v>0</v>
      </c>
      <c r="AF860" s="43" t="b" cm="1">
        <f t="array" ref="AF860">IFERROR(_xlfn.BYROW(TRACK_TYPES[[#This Row],[TRACK_TYPE_NARROW_GAUGE_RAILTYPE_OHLE]:[TRACK_TYPE_NARROW_GAUGE_RAILTYPE_NONE]],_xlfn.LAMBDA(_xlpm.r,OR(_xlpm.r))),FALSE)</f>
        <v>1</v>
      </c>
      <c r="AG860" s="43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3401</v>
      </c>
      <c r="B861" s="45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43" t="b" cm="1">
        <f t="array" ref="AE861">IFERROR(_xlfn.BYROW(TRACK_TYPES[[#This Row],[TRACK_TYPE_STANDARD_GAUGE_RAILTYPE_OHLE]:[TRACK_TYPE_STANDARD_GAUGE_RAILTYPE_NONE]],_xlfn.LAMBDA(_xlpm.r,OR(_xlpm.r))),FALSE)</f>
        <v>1</v>
      </c>
      <c r="AF861" s="43" t="b" cm="1">
        <f t="array" ref="AF861">IFERROR(_xlfn.BYROW(TRACK_TYPES[[#This Row],[TRACK_TYPE_NARROW_GAUGE_RAILTYPE_OHLE]:[TRACK_TYPE_NARROW_GAUGE_RAILTYPE_NONE]],_xlfn.LAMBDA(_xlpm.r,OR(_xlpm.r))),FALSE)</f>
        <v>0</v>
      </c>
      <c r="AG861" s="43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3541</v>
      </c>
      <c r="B862" s="45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43" t="b" cm="1">
        <f t="array" ref="AE862">IFERROR(_xlfn.BYROW(TRACK_TYPES[[#This Row],[TRACK_TYPE_STANDARD_GAUGE_RAILTYPE_OHLE]:[TRACK_TYPE_STANDARD_GAUGE_RAILTYPE_NONE]],_xlfn.LAMBDA(_xlpm.r,OR(_xlpm.r))),FALSE)</f>
        <v>1</v>
      </c>
      <c r="AF862" s="43" t="b" cm="1">
        <f t="array" ref="AF862">IFERROR(_xlfn.BYROW(TRACK_TYPES[[#This Row],[TRACK_TYPE_NARROW_GAUGE_RAILTYPE_OHLE]:[TRACK_TYPE_NARROW_GAUGE_RAILTYPE_NONE]],_xlfn.LAMBDA(_xlpm.r,OR(_xlpm.r))),FALSE)</f>
        <v>0</v>
      </c>
      <c r="AG862" s="43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3402</v>
      </c>
      <c r="B863" s="45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43" t="b" cm="1">
        <f t="array" ref="AE863">IFERROR(_xlfn.BYROW(TRACK_TYPES[[#This Row],[TRACK_TYPE_STANDARD_GAUGE_RAILTYPE_OHLE]:[TRACK_TYPE_STANDARD_GAUGE_RAILTYPE_NONE]],_xlfn.LAMBDA(_xlpm.r,OR(_xlpm.r))),FALSE)</f>
        <v>1</v>
      </c>
      <c r="AF863" s="43" t="b" cm="1">
        <f t="array" ref="AF863">IFERROR(_xlfn.BYROW(TRACK_TYPES[[#This Row],[TRACK_TYPE_NARROW_GAUGE_RAILTYPE_OHLE]:[TRACK_TYPE_NARROW_GAUGE_RAILTYPE_NONE]],_xlfn.LAMBDA(_xlpm.r,OR(_xlpm.r))),FALSE)</f>
        <v>0</v>
      </c>
      <c r="AG863" s="43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3403</v>
      </c>
      <c r="B864" s="45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43" t="b" cm="1">
        <f t="array" ref="AE864">IFERROR(_xlfn.BYROW(TRACK_TYPES[[#This Row],[TRACK_TYPE_STANDARD_GAUGE_RAILTYPE_OHLE]:[TRACK_TYPE_STANDARD_GAUGE_RAILTYPE_NONE]],_xlfn.LAMBDA(_xlpm.r,OR(_xlpm.r))),FALSE)</f>
        <v>1</v>
      </c>
      <c r="AF864" s="43" t="b" cm="1">
        <f t="array" ref="AF864">IFERROR(_xlfn.BYROW(TRACK_TYPES[[#This Row],[TRACK_TYPE_NARROW_GAUGE_RAILTYPE_OHLE]:[TRACK_TYPE_NARROW_GAUGE_RAILTYPE_NONE]],_xlfn.LAMBDA(_xlpm.r,OR(_xlpm.r))),FALSE)</f>
        <v>0</v>
      </c>
      <c r="AG864" s="43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3404</v>
      </c>
      <c r="B865" s="45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43" t="b" cm="1">
        <f t="array" ref="AE865">IFERROR(_xlfn.BYROW(TRACK_TYPES[[#This Row],[TRACK_TYPE_STANDARD_GAUGE_RAILTYPE_OHLE]:[TRACK_TYPE_STANDARD_GAUGE_RAILTYPE_NONE]],_xlfn.LAMBDA(_xlpm.r,OR(_xlpm.r))),FALSE)</f>
        <v>1</v>
      </c>
      <c r="AF865" s="43" t="b" cm="1">
        <f t="array" ref="AF865">IFERROR(_xlfn.BYROW(TRACK_TYPES[[#This Row],[TRACK_TYPE_NARROW_GAUGE_RAILTYPE_OHLE]:[TRACK_TYPE_NARROW_GAUGE_RAILTYPE_NONE]],_xlfn.LAMBDA(_xlpm.r,OR(_xlpm.r))),FALSE)</f>
        <v>0</v>
      </c>
      <c r="AG865" s="43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3405</v>
      </c>
      <c r="B866" s="45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43" t="b" cm="1">
        <f t="array" ref="AE866">IFERROR(_xlfn.BYROW(TRACK_TYPES[[#This Row],[TRACK_TYPE_STANDARD_GAUGE_RAILTYPE_OHLE]:[TRACK_TYPE_STANDARD_GAUGE_RAILTYPE_NONE]],_xlfn.LAMBDA(_xlpm.r,OR(_xlpm.r))),FALSE)</f>
        <v>1</v>
      </c>
      <c r="AF866" s="43" t="b" cm="1">
        <f t="array" ref="AF866">IFERROR(_xlfn.BYROW(TRACK_TYPES[[#This Row],[TRACK_TYPE_NARROW_GAUGE_RAILTYPE_OHLE]:[TRACK_TYPE_NARROW_GAUGE_RAILTYPE_NONE]],_xlfn.LAMBDA(_xlpm.r,OR(_xlpm.r))),FALSE)</f>
        <v>0</v>
      </c>
      <c r="AG866" s="43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3406</v>
      </c>
      <c r="B867" s="45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43" t="b" cm="1">
        <f t="array" ref="AE867">IFERROR(_xlfn.BYROW(TRACK_TYPES[[#This Row],[TRACK_TYPE_STANDARD_GAUGE_RAILTYPE_OHLE]:[TRACK_TYPE_STANDARD_GAUGE_RAILTYPE_NONE]],_xlfn.LAMBDA(_xlpm.r,OR(_xlpm.r))),FALSE)</f>
        <v>1</v>
      </c>
      <c r="AF867" s="43" t="b" cm="1">
        <f t="array" ref="AF867">IFERROR(_xlfn.BYROW(TRACK_TYPES[[#This Row],[TRACK_TYPE_NARROW_GAUGE_RAILTYPE_OHLE]:[TRACK_TYPE_NARROW_GAUGE_RAILTYPE_NONE]],_xlfn.LAMBDA(_xlpm.r,OR(_xlpm.r))),FALSE)</f>
        <v>0</v>
      </c>
      <c r="AG867" s="43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3407</v>
      </c>
      <c r="B868" s="45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43" t="b" cm="1">
        <f t="array" ref="AE868">IFERROR(_xlfn.BYROW(TRACK_TYPES[[#This Row],[TRACK_TYPE_STANDARD_GAUGE_RAILTYPE_OHLE]:[TRACK_TYPE_STANDARD_GAUGE_RAILTYPE_NONE]],_xlfn.LAMBDA(_xlpm.r,OR(_xlpm.r))),FALSE)</f>
        <v>1</v>
      </c>
      <c r="AF868" s="43" t="b" cm="1">
        <f t="array" ref="AF868">IFERROR(_xlfn.BYROW(TRACK_TYPES[[#This Row],[TRACK_TYPE_NARROW_GAUGE_RAILTYPE_OHLE]:[TRACK_TYPE_NARROW_GAUGE_RAILTYPE_NONE]],_xlfn.LAMBDA(_xlpm.r,OR(_xlpm.r))),FALSE)</f>
        <v>0</v>
      </c>
      <c r="AG868" s="43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3408</v>
      </c>
      <c r="B869" s="45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43" t="b" cm="1">
        <f t="array" ref="AE869">IFERROR(_xlfn.BYROW(TRACK_TYPES[[#This Row],[TRACK_TYPE_STANDARD_GAUGE_RAILTYPE_OHLE]:[TRACK_TYPE_STANDARD_GAUGE_RAILTYPE_NONE]],_xlfn.LAMBDA(_xlpm.r,OR(_xlpm.r))),FALSE)</f>
        <v>1</v>
      </c>
      <c r="AF869" s="43" t="b" cm="1">
        <f t="array" ref="AF869">IFERROR(_xlfn.BYROW(TRACK_TYPES[[#This Row],[TRACK_TYPE_NARROW_GAUGE_RAILTYPE_OHLE]:[TRACK_TYPE_NARROW_GAUGE_RAILTYPE_NONE]],_xlfn.LAMBDA(_xlpm.r,OR(_xlpm.r))),FALSE)</f>
        <v>0</v>
      </c>
      <c r="AG869" s="43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3409</v>
      </c>
      <c r="B870" s="45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43" t="b" cm="1">
        <f t="array" ref="AE870">IFERROR(_xlfn.BYROW(TRACK_TYPES[[#This Row],[TRACK_TYPE_STANDARD_GAUGE_RAILTYPE_OHLE]:[TRACK_TYPE_STANDARD_GAUGE_RAILTYPE_NONE]],_xlfn.LAMBDA(_xlpm.r,OR(_xlpm.r))),FALSE)</f>
        <v>1</v>
      </c>
      <c r="AF870" s="43" t="b" cm="1">
        <f t="array" ref="AF870">IFERROR(_xlfn.BYROW(TRACK_TYPES[[#This Row],[TRACK_TYPE_NARROW_GAUGE_RAILTYPE_OHLE]:[TRACK_TYPE_NARROW_GAUGE_RAILTYPE_NONE]],_xlfn.LAMBDA(_xlpm.r,OR(_xlpm.r))),FALSE)</f>
        <v>0</v>
      </c>
      <c r="AG870" s="43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3542</v>
      </c>
      <c r="B871" s="45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43" t="b" cm="1">
        <f t="array" ref="AE871">IFERROR(_xlfn.BYROW(TRACK_TYPES[[#This Row],[TRACK_TYPE_STANDARD_GAUGE_RAILTYPE_OHLE]:[TRACK_TYPE_STANDARD_GAUGE_RAILTYPE_NONE]],_xlfn.LAMBDA(_xlpm.r,OR(_xlpm.r))),FALSE)</f>
        <v>0</v>
      </c>
      <c r="AF871" s="43" t="b" cm="1">
        <f t="array" ref="AF871">IFERROR(_xlfn.BYROW(TRACK_TYPES[[#This Row],[TRACK_TYPE_NARROW_GAUGE_RAILTYPE_OHLE]:[TRACK_TYPE_NARROW_GAUGE_RAILTYPE_NONE]],_xlfn.LAMBDA(_xlpm.r,OR(_xlpm.r))),FALSE)</f>
        <v>1</v>
      </c>
      <c r="AG871" s="43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3410</v>
      </c>
      <c r="B872" s="45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43" t="b" cm="1">
        <f t="array" ref="AE872">IFERROR(_xlfn.BYROW(TRACK_TYPES[[#This Row],[TRACK_TYPE_STANDARD_GAUGE_RAILTYPE_OHLE]:[TRACK_TYPE_STANDARD_GAUGE_RAILTYPE_NONE]],_xlfn.LAMBDA(_xlpm.r,OR(_xlpm.r))),FALSE)</f>
        <v>0</v>
      </c>
      <c r="AF872" s="43" t="b" cm="1">
        <f t="array" ref="AF872">IFERROR(_xlfn.BYROW(TRACK_TYPES[[#This Row],[TRACK_TYPE_NARROW_GAUGE_RAILTYPE_OHLE]:[TRACK_TYPE_NARROW_GAUGE_RAILTYPE_NONE]],_xlfn.LAMBDA(_xlpm.r,OR(_xlpm.r))),FALSE)</f>
        <v>1</v>
      </c>
      <c r="AG872" s="43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3411</v>
      </c>
      <c r="B873" s="45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43" t="b" cm="1">
        <f t="array" ref="AE873">IFERROR(_xlfn.BYROW(TRACK_TYPES[[#This Row],[TRACK_TYPE_STANDARD_GAUGE_RAILTYPE_OHLE]:[TRACK_TYPE_STANDARD_GAUGE_RAILTYPE_NONE]],_xlfn.LAMBDA(_xlpm.r,OR(_xlpm.r))),FALSE)</f>
        <v>0</v>
      </c>
      <c r="AF873" s="43" t="b" cm="1">
        <f t="array" ref="AF873">IFERROR(_xlfn.BYROW(TRACK_TYPES[[#This Row],[TRACK_TYPE_NARROW_GAUGE_RAILTYPE_OHLE]:[TRACK_TYPE_NARROW_GAUGE_RAILTYPE_NONE]],_xlfn.LAMBDA(_xlpm.r,OR(_xlpm.r))),FALSE)</f>
        <v>1</v>
      </c>
      <c r="AG873" s="43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3412</v>
      </c>
      <c r="B874" s="45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43" t="b" cm="1">
        <f t="array" ref="AE874">IFERROR(_xlfn.BYROW(TRACK_TYPES[[#This Row],[TRACK_TYPE_STANDARD_GAUGE_RAILTYPE_OHLE]:[TRACK_TYPE_STANDARD_GAUGE_RAILTYPE_NONE]],_xlfn.LAMBDA(_xlpm.r,OR(_xlpm.r))),FALSE)</f>
        <v>1</v>
      </c>
      <c r="AF874" s="43" t="b" cm="1">
        <f t="array" ref="AF874">IFERROR(_xlfn.BYROW(TRACK_TYPES[[#This Row],[TRACK_TYPE_NARROW_GAUGE_RAILTYPE_OHLE]:[TRACK_TYPE_NARROW_GAUGE_RAILTYPE_NONE]],_xlfn.LAMBDA(_xlpm.r,OR(_xlpm.r))),FALSE)</f>
        <v>1</v>
      </c>
      <c r="AG874" s="43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>
      <c r="A875" s="2" t="s">
        <v>3413</v>
      </c>
      <c r="B875" s="45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43" t="b" cm="1">
        <f t="array" ref="AE875">IFERROR(_xlfn.BYROW(TRACK_TYPES[[#This Row],[TRACK_TYPE_STANDARD_GAUGE_RAILTYPE_OHLE]:[TRACK_TYPE_STANDARD_GAUGE_RAILTYPE_NONE]],_xlfn.LAMBDA(_xlpm.r,OR(_xlpm.r))),FALSE)</f>
        <v>1</v>
      </c>
      <c r="AF875" s="43" t="b" cm="1">
        <f t="array" ref="AF875">IFERROR(_xlfn.BYROW(TRACK_TYPES[[#This Row],[TRACK_TYPE_NARROW_GAUGE_RAILTYPE_OHLE]:[TRACK_TYPE_NARROW_GAUGE_RAILTYPE_NONE]],_xlfn.LAMBDA(_xlpm.r,OR(_xlpm.r))),FALSE)</f>
        <v>0</v>
      </c>
      <c r="AG875" s="43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3414</v>
      </c>
      <c r="B876" s="45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43" t="b" cm="1">
        <f t="array" ref="AE876">IFERROR(_xlfn.BYROW(TRACK_TYPES[[#This Row],[TRACK_TYPE_STANDARD_GAUGE_RAILTYPE_OHLE]:[TRACK_TYPE_STANDARD_GAUGE_RAILTYPE_NONE]],_xlfn.LAMBDA(_xlpm.r,OR(_xlpm.r))),FALSE)</f>
        <v>1</v>
      </c>
      <c r="AF876" s="43" t="b" cm="1">
        <f t="array" ref="AF876">IFERROR(_xlfn.BYROW(TRACK_TYPES[[#This Row],[TRACK_TYPE_NARROW_GAUGE_RAILTYPE_OHLE]:[TRACK_TYPE_NARROW_GAUGE_RAILTYPE_NONE]],_xlfn.LAMBDA(_xlpm.r,OR(_xlpm.r))),FALSE)</f>
        <v>0</v>
      </c>
      <c r="AG876" s="43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3415</v>
      </c>
      <c r="B877" s="45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43" t="b" cm="1">
        <f t="array" ref="AE877">IFERROR(_xlfn.BYROW(TRACK_TYPES[[#This Row],[TRACK_TYPE_STANDARD_GAUGE_RAILTYPE_OHLE]:[TRACK_TYPE_STANDARD_GAUGE_RAILTYPE_NONE]],_xlfn.LAMBDA(_xlpm.r,OR(_xlpm.r))),FALSE)</f>
        <v>1</v>
      </c>
      <c r="AF877" s="43" t="b" cm="1">
        <f t="array" ref="AF877">IFERROR(_xlfn.BYROW(TRACK_TYPES[[#This Row],[TRACK_TYPE_NARROW_GAUGE_RAILTYPE_OHLE]:[TRACK_TYPE_NARROW_GAUGE_RAILTYPE_NONE]],_xlfn.LAMBDA(_xlpm.r,OR(_xlpm.r))),FALSE)</f>
        <v>0</v>
      </c>
      <c r="AG877" s="43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3416</v>
      </c>
      <c r="B878" s="45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43" t="b" cm="1">
        <f t="array" ref="AE878">IFERROR(_xlfn.BYROW(TRACK_TYPES[[#This Row],[TRACK_TYPE_STANDARD_GAUGE_RAILTYPE_OHLE]:[TRACK_TYPE_STANDARD_GAUGE_RAILTYPE_NONE]],_xlfn.LAMBDA(_xlpm.r,OR(_xlpm.r))),FALSE)</f>
        <v>0</v>
      </c>
      <c r="AF878" s="43" t="b" cm="1">
        <f t="array" ref="AF878">IFERROR(_xlfn.BYROW(TRACK_TYPES[[#This Row],[TRACK_TYPE_NARROW_GAUGE_RAILTYPE_OHLE]:[TRACK_TYPE_NARROW_GAUGE_RAILTYPE_NONE]],_xlfn.LAMBDA(_xlpm.r,OR(_xlpm.r))),FALSE)</f>
        <v>1</v>
      </c>
      <c r="AG878" s="43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3417</v>
      </c>
      <c r="B879" s="45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43" t="b" cm="1">
        <f t="array" ref="AE879">IFERROR(_xlfn.BYROW(TRACK_TYPES[[#This Row],[TRACK_TYPE_STANDARD_GAUGE_RAILTYPE_OHLE]:[TRACK_TYPE_STANDARD_GAUGE_RAILTYPE_NONE]],_xlfn.LAMBDA(_xlpm.r,OR(_xlpm.r))),FALSE)</f>
        <v>0</v>
      </c>
      <c r="AF879" s="43" t="b" cm="1">
        <f t="array" ref="AF879">IFERROR(_xlfn.BYROW(TRACK_TYPES[[#This Row],[TRACK_TYPE_NARROW_GAUGE_RAILTYPE_OHLE]:[TRACK_TYPE_NARROW_GAUGE_RAILTYPE_NONE]],_xlfn.LAMBDA(_xlpm.r,OR(_xlpm.r))),FALSE)</f>
        <v>1</v>
      </c>
      <c r="AG879" s="43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3418</v>
      </c>
      <c r="B880" s="45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43" t="b" cm="1">
        <f t="array" ref="AE880">IFERROR(_xlfn.BYROW(TRACK_TYPES[[#This Row],[TRACK_TYPE_STANDARD_GAUGE_RAILTYPE_OHLE]:[TRACK_TYPE_STANDARD_GAUGE_RAILTYPE_NONE]],_xlfn.LAMBDA(_xlpm.r,OR(_xlpm.r))),FALSE)</f>
        <v>1</v>
      </c>
      <c r="AF880" s="43" t="b" cm="1">
        <f t="array" ref="AF880">IFERROR(_xlfn.BYROW(TRACK_TYPES[[#This Row],[TRACK_TYPE_NARROW_GAUGE_RAILTYPE_OHLE]:[TRACK_TYPE_NARROW_GAUGE_RAILTYPE_NONE]],_xlfn.LAMBDA(_xlpm.r,OR(_xlpm.r))),FALSE)</f>
        <v>0</v>
      </c>
      <c r="AG880" s="43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3419</v>
      </c>
      <c r="B881" s="45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43" t="b" cm="1">
        <f t="array" ref="AE881">IFERROR(_xlfn.BYROW(TRACK_TYPES[[#This Row],[TRACK_TYPE_STANDARD_GAUGE_RAILTYPE_OHLE]:[TRACK_TYPE_STANDARD_GAUGE_RAILTYPE_NONE]],_xlfn.LAMBDA(_xlpm.r,OR(_xlpm.r))),FALSE)</f>
        <v>0</v>
      </c>
      <c r="AF881" s="43" t="b" cm="1">
        <f t="array" ref="AF881">IFERROR(_xlfn.BYROW(TRACK_TYPES[[#This Row],[TRACK_TYPE_NARROW_GAUGE_RAILTYPE_OHLE]:[TRACK_TYPE_NARROW_GAUGE_RAILTYPE_NONE]],_xlfn.LAMBDA(_xlpm.r,OR(_xlpm.r))),FALSE)</f>
        <v>0</v>
      </c>
      <c r="AG881" s="43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3420</v>
      </c>
      <c r="B882" s="45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43" t="b" cm="1">
        <f t="array" ref="AE882">IFERROR(_xlfn.BYROW(TRACK_TYPES[[#This Row],[TRACK_TYPE_STANDARD_GAUGE_RAILTYPE_OHLE]:[TRACK_TYPE_STANDARD_GAUGE_RAILTYPE_NONE]],_xlfn.LAMBDA(_xlpm.r,OR(_xlpm.r))),FALSE)</f>
        <v>0</v>
      </c>
      <c r="AF882" s="43" t="b" cm="1">
        <f t="array" ref="AF882">IFERROR(_xlfn.BYROW(TRACK_TYPES[[#This Row],[TRACK_TYPE_NARROW_GAUGE_RAILTYPE_OHLE]:[TRACK_TYPE_NARROW_GAUGE_RAILTYPE_NONE]],_xlfn.LAMBDA(_xlpm.r,OR(_xlpm.r))),FALSE)</f>
        <v>0</v>
      </c>
      <c r="AG882" s="43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3421</v>
      </c>
      <c r="B883" s="45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43" t="b" cm="1">
        <f t="array" ref="AE883">IFERROR(_xlfn.BYROW(TRACK_TYPES[[#This Row],[TRACK_TYPE_STANDARD_GAUGE_RAILTYPE_OHLE]:[TRACK_TYPE_STANDARD_GAUGE_RAILTYPE_NONE]],_xlfn.LAMBDA(_xlpm.r,OR(_xlpm.r))),FALSE)</f>
        <v>0</v>
      </c>
      <c r="AF883" s="43" t="b" cm="1">
        <f t="array" ref="AF883">IFERROR(_xlfn.BYROW(TRACK_TYPES[[#This Row],[TRACK_TYPE_NARROW_GAUGE_RAILTYPE_OHLE]:[TRACK_TYPE_NARROW_GAUGE_RAILTYPE_NONE]],_xlfn.LAMBDA(_xlpm.r,OR(_xlpm.r))),FALSE)</f>
        <v>0</v>
      </c>
      <c r="AG883" s="43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3422</v>
      </c>
      <c r="B884" s="45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43" t="b" cm="1">
        <f t="array" ref="AE884">IFERROR(_xlfn.BYROW(TRACK_TYPES[[#This Row],[TRACK_TYPE_STANDARD_GAUGE_RAILTYPE_OHLE]:[TRACK_TYPE_STANDARD_GAUGE_RAILTYPE_NONE]],_xlfn.LAMBDA(_xlpm.r,OR(_xlpm.r))),FALSE)</f>
        <v>1</v>
      </c>
      <c r="AF884" s="43" t="b" cm="1">
        <f t="array" ref="AF884">IFERROR(_xlfn.BYROW(TRACK_TYPES[[#This Row],[TRACK_TYPE_NARROW_GAUGE_RAILTYPE_OHLE]:[TRACK_TYPE_NARROW_GAUGE_RAILTYPE_NONE]],_xlfn.LAMBDA(_xlpm.r,OR(_xlpm.r))),FALSE)</f>
        <v>0</v>
      </c>
      <c r="AG884" s="43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3423</v>
      </c>
      <c r="B885" s="45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43" t="b" cm="1">
        <f t="array" ref="AE885">IFERROR(_xlfn.BYROW(TRACK_TYPES[[#This Row],[TRACK_TYPE_STANDARD_GAUGE_RAILTYPE_OHLE]:[TRACK_TYPE_STANDARD_GAUGE_RAILTYPE_NONE]],_xlfn.LAMBDA(_xlpm.r,OR(_xlpm.r))),FALSE)</f>
        <v>0</v>
      </c>
      <c r="AF885" s="43" t="b" cm="1">
        <f t="array" ref="AF885">IFERROR(_xlfn.BYROW(TRACK_TYPES[[#This Row],[TRACK_TYPE_NARROW_GAUGE_RAILTYPE_OHLE]:[TRACK_TYPE_NARROW_GAUGE_RAILTYPE_NONE]],_xlfn.LAMBDA(_xlpm.r,OR(_xlpm.r))),FALSE)</f>
        <v>0</v>
      </c>
      <c r="AG885" s="43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3424</v>
      </c>
      <c r="B886" s="45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43" t="b" cm="1">
        <f t="array" ref="AE886">IFERROR(_xlfn.BYROW(TRACK_TYPES[[#This Row],[TRACK_TYPE_STANDARD_GAUGE_RAILTYPE_OHLE]:[TRACK_TYPE_STANDARD_GAUGE_RAILTYPE_NONE]],_xlfn.LAMBDA(_xlpm.r,OR(_xlpm.r))),FALSE)</f>
        <v>0</v>
      </c>
      <c r="AF886" s="43" t="b" cm="1">
        <f t="array" ref="AF886">IFERROR(_xlfn.BYROW(TRACK_TYPES[[#This Row],[TRACK_TYPE_NARROW_GAUGE_RAILTYPE_OHLE]:[TRACK_TYPE_NARROW_GAUGE_RAILTYPE_NONE]],_xlfn.LAMBDA(_xlpm.r,OR(_xlpm.r))),FALSE)</f>
        <v>0</v>
      </c>
      <c r="AG886" s="43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3425</v>
      </c>
      <c r="B887" s="45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43" t="b" cm="1">
        <f t="array" ref="AE887">IFERROR(_xlfn.BYROW(TRACK_TYPES[[#This Row],[TRACK_TYPE_STANDARD_GAUGE_RAILTYPE_OHLE]:[TRACK_TYPE_STANDARD_GAUGE_RAILTYPE_NONE]],_xlfn.LAMBDA(_xlpm.r,OR(_xlpm.r))),FALSE)</f>
        <v>1</v>
      </c>
      <c r="AF887" s="43" t="b" cm="1">
        <f t="array" ref="AF887">IFERROR(_xlfn.BYROW(TRACK_TYPES[[#This Row],[TRACK_TYPE_NARROW_GAUGE_RAILTYPE_OHLE]:[TRACK_TYPE_NARROW_GAUGE_RAILTYPE_NONE]],_xlfn.LAMBDA(_xlpm.r,OR(_xlpm.r))),FALSE)</f>
        <v>0</v>
      </c>
      <c r="AG887" s="43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3426</v>
      </c>
      <c r="B888" s="45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43" t="b" cm="1">
        <f t="array" ref="AE888">IFERROR(_xlfn.BYROW(TRACK_TYPES[[#This Row],[TRACK_TYPE_STANDARD_GAUGE_RAILTYPE_OHLE]:[TRACK_TYPE_STANDARD_GAUGE_RAILTYPE_NONE]],_xlfn.LAMBDA(_xlpm.r,OR(_xlpm.r))),FALSE)</f>
        <v>0</v>
      </c>
      <c r="AF888" s="43" t="b" cm="1">
        <f t="array" ref="AF888">IFERROR(_xlfn.BYROW(TRACK_TYPES[[#This Row],[TRACK_TYPE_NARROW_GAUGE_RAILTYPE_OHLE]:[TRACK_TYPE_NARROW_GAUGE_RAILTYPE_NONE]],_xlfn.LAMBDA(_xlpm.r,OR(_xlpm.r))),FALSE)</f>
        <v>0</v>
      </c>
      <c r="AG888" s="43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3427</v>
      </c>
      <c r="B889" s="45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43" t="b" cm="1">
        <f t="array" ref="AE889">IFERROR(_xlfn.BYROW(TRACK_TYPES[[#This Row],[TRACK_TYPE_STANDARD_GAUGE_RAILTYPE_OHLE]:[TRACK_TYPE_STANDARD_GAUGE_RAILTYPE_NONE]],_xlfn.LAMBDA(_xlpm.r,OR(_xlpm.r))),FALSE)</f>
        <v>1</v>
      </c>
      <c r="AF889" s="43" t="b" cm="1">
        <f t="array" ref="AF889">IFERROR(_xlfn.BYROW(TRACK_TYPES[[#This Row],[TRACK_TYPE_NARROW_GAUGE_RAILTYPE_OHLE]:[TRACK_TYPE_NARROW_GAUGE_RAILTYPE_NONE]],_xlfn.LAMBDA(_xlpm.r,OR(_xlpm.r))),FALSE)</f>
        <v>0</v>
      </c>
      <c r="AG889" s="43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3428</v>
      </c>
      <c r="B890" s="45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43" t="b" cm="1">
        <f t="array" ref="AE890">IFERROR(_xlfn.BYROW(TRACK_TYPES[[#This Row],[TRACK_TYPE_STANDARD_GAUGE_RAILTYPE_OHLE]:[TRACK_TYPE_STANDARD_GAUGE_RAILTYPE_NONE]],_xlfn.LAMBDA(_xlpm.r,OR(_xlpm.r))),FALSE)</f>
        <v>1</v>
      </c>
      <c r="AF890" s="43" t="b" cm="1">
        <f t="array" ref="AF890">IFERROR(_xlfn.BYROW(TRACK_TYPES[[#This Row],[TRACK_TYPE_NARROW_GAUGE_RAILTYPE_OHLE]:[TRACK_TYPE_NARROW_GAUGE_RAILTYPE_NONE]],_xlfn.LAMBDA(_xlpm.r,OR(_xlpm.r))),FALSE)</f>
        <v>0</v>
      </c>
      <c r="AG890" s="43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3429</v>
      </c>
      <c r="B891" s="45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43" t="b" cm="1">
        <f t="array" ref="AE891">IFERROR(_xlfn.BYROW(TRACK_TYPES[[#This Row],[TRACK_TYPE_STANDARD_GAUGE_RAILTYPE_OHLE]:[TRACK_TYPE_STANDARD_GAUGE_RAILTYPE_NONE]],_xlfn.LAMBDA(_xlpm.r,OR(_xlpm.r))),FALSE)</f>
        <v>0</v>
      </c>
      <c r="AF891" s="43" t="b" cm="1">
        <f t="array" ref="AF891">IFERROR(_xlfn.BYROW(TRACK_TYPES[[#This Row],[TRACK_TYPE_NARROW_GAUGE_RAILTYPE_OHLE]:[TRACK_TYPE_NARROW_GAUGE_RAILTYPE_NONE]],_xlfn.LAMBDA(_xlpm.r,OR(_xlpm.r))),FALSE)</f>
        <v>1</v>
      </c>
      <c r="AG891" s="43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3430</v>
      </c>
      <c r="B892" s="45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43" t="b" cm="1">
        <f t="array" ref="AE892">IFERROR(_xlfn.BYROW(TRACK_TYPES[[#This Row],[TRACK_TYPE_STANDARD_GAUGE_RAILTYPE_OHLE]:[TRACK_TYPE_STANDARD_GAUGE_RAILTYPE_NONE]],_xlfn.LAMBDA(_xlpm.r,OR(_xlpm.r))),FALSE)</f>
        <v>0</v>
      </c>
      <c r="AF892" s="43" t="b" cm="1">
        <f t="array" ref="AF892">IFERROR(_xlfn.BYROW(TRACK_TYPES[[#This Row],[TRACK_TYPE_NARROW_GAUGE_RAILTYPE_OHLE]:[TRACK_TYPE_NARROW_GAUGE_RAILTYPE_NONE]],_xlfn.LAMBDA(_xlpm.r,OR(_xlpm.r))),FALSE)</f>
        <v>0</v>
      </c>
      <c r="AG892" s="43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3431</v>
      </c>
      <c r="B893" s="45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43" t="b" cm="1">
        <f t="array" ref="AE893">IFERROR(_xlfn.BYROW(TRACK_TYPES[[#This Row],[TRACK_TYPE_STANDARD_GAUGE_RAILTYPE_OHLE]:[TRACK_TYPE_STANDARD_GAUGE_RAILTYPE_NONE]],_xlfn.LAMBDA(_xlpm.r,OR(_xlpm.r))),FALSE)</f>
        <v>0</v>
      </c>
      <c r="AF893" s="43" t="b" cm="1">
        <f t="array" ref="AF893">IFERROR(_xlfn.BYROW(TRACK_TYPES[[#This Row],[TRACK_TYPE_NARROW_GAUGE_RAILTYPE_OHLE]:[TRACK_TYPE_NARROW_GAUGE_RAILTYPE_NONE]],_xlfn.LAMBDA(_xlpm.r,OR(_xlpm.r))),FALSE)</f>
        <v>0</v>
      </c>
      <c r="AG893" s="43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3432</v>
      </c>
      <c r="B894" s="45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43" t="b" cm="1">
        <f t="array" ref="AE894">IFERROR(_xlfn.BYROW(TRACK_TYPES[[#This Row],[TRACK_TYPE_STANDARD_GAUGE_RAILTYPE_OHLE]:[TRACK_TYPE_STANDARD_GAUGE_RAILTYPE_NONE]],_xlfn.LAMBDA(_xlpm.r,OR(_xlpm.r))),FALSE)</f>
        <v>0</v>
      </c>
      <c r="AF894" s="43" t="b" cm="1">
        <f t="array" ref="AF894">IFERROR(_xlfn.BYROW(TRACK_TYPES[[#This Row],[TRACK_TYPE_NARROW_GAUGE_RAILTYPE_OHLE]:[TRACK_TYPE_NARROW_GAUGE_RAILTYPE_NONE]],_xlfn.LAMBDA(_xlpm.r,OR(_xlpm.r))),FALSE)</f>
        <v>1</v>
      </c>
      <c r="AG894" s="43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3433</v>
      </c>
      <c r="B895" s="45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43" t="b" cm="1">
        <f t="array" ref="AE895">IFERROR(_xlfn.BYROW(TRACK_TYPES[[#This Row],[TRACK_TYPE_STANDARD_GAUGE_RAILTYPE_OHLE]:[TRACK_TYPE_STANDARD_GAUGE_RAILTYPE_NONE]],_xlfn.LAMBDA(_xlpm.r,OR(_xlpm.r))),FALSE)</f>
        <v>0</v>
      </c>
      <c r="AF895" s="43" t="b" cm="1">
        <f t="array" ref="AF895">IFERROR(_xlfn.BYROW(TRACK_TYPES[[#This Row],[TRACK_TYPE_NARROW_GAUGE_RAILTYPE_OHLE]:[TRACK_TYPE_NARROW_GAUGE_RAILTYPE_NONE]],_xlfn.LAMBDA(_xlpm.r,OR(_xlpm.r))),FALSE)</f>
        <v>0</v>
      </c>
      <c r="AG895" s="43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3434</v>
      </c>
      <c r="B896" s="45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43" t="b" cm="1">
        <f t="array" ref="AE896">IFERROR(_xlfn.BYROW(TRACK_TYPES[[#This Row],[TRACK_TYPE_STANDARD_GAUGE_RAILTYPE_OHLE]:[TRACK_TYPE_STANDARD_GAUGE_RAILTYPE_NONE]],_xlfn.LAMBDA(_xlpm.r,OR(_xlpm.r))),FALSE)</f>
        <v>0</v>
      </c>
      <c r="AF896" s="43" t="b" cm="1">
        <f t="array" ref="AF896">IFERROR(_xlfn.BYROW(TRACK_TYPES[[#This Row],[TRACK_TYPE_NARROW_GAUGE_RAILTYPE_OHLE]:[TRACK_TYPE_NARROW_GAUGE_RAILTYPE_NONE]],_xlfn.LAMBDA(_xlpm.r,OR(_xlpm.r))),FALSE)</f>
        <v>1</v>
      </c>
      <c r="AG896" s="43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3435</v>
      </c>
      <c r="B897" s="45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43" t="b" cm="1">
        <f t="array" ref="AE897">IFERROR(_xlfn.BYROW(TRACK_TYPES[[#This Row],[TRACK_TYPE_STANDARD_GAUGE_RAILTYPE_OHLE]:[TRACK_TYPE_STANDARD_GAUGE_RAILTYPE_NONE]],_xlfn.LAMBDA(_xlpm.r,OR(_xlpm.r))),FALSE)</f>
        <v>1</v>
      </c>
      <c r="AF897" s="43" t="b" cm="1">
        <f t="array" ref="AF897">IFERROR(_xlfn.BYROW(TRACK_TYPES[[#This Row],[TRACK_TYPE_NARROW_GAUGE_RAILTYPE_OHLE]:[TRACK_TYPE_NARROW_GAUGE_RAILTYPE_NONE]],_xlfn.LAMBDA(_xlpm.r,OR(_xlpm.r))),FALSE)</f>
        <v>0</v>
      </c>
      <c r="AG897" s="43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3436</v>
      </c>
      <c r="B898" s="45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43" t="b" cm="1">
        <f t="array" ref="AE898">IFERROR(_xlfn.BYROW(TRACK_TYPES[[#This Row],[TRACK_TYPE_STANDARD_GAUGE_RAILTYPE_OHLE]:[TRACK_TYPE_STANDARD_GAUGE_RAILTYPE_NONE]],_xlfn.LAMBDA(_xlpm.r,OR(_xlpm.r))),FALSE)</f>
        <v>0</v>
      </c>
      <c r="AF898" s="43" t="b" cm="1">
        <f t="array" ref="AF898">IFERROR(_xlfn.BYROW(TRACK_TYPES[[#This Row],[TRACK_TYPE_NARROW_GAUGE_RAILTYPE_OHLE]:[TRACK_TYPE_NARROW_GAUGE_RAILTYPE_NONE]],_xlfn.LAMBDA(_xlpm.r,OR(_xlpm.r))),FALSE)</f>
        <v>1</v>
      </c>
      <c r="AG898" s="43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3437</v>
      </c>
      <c r="B899" s="45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43" t="b" cm="1">
        <f t="array" ref="AE899">IFERROR(_xlfn.BYROW(TRACK_TYPES[[#This Row],[TRACK_TYPE_STANDARD_GAUGE_RAILTYPE_OHLE]:[TRACK_TYPE_STANDARD_GAUGE_RAILTYPE_NONE]],_xlfn.LAMBDA(_xlpm.r,OR(_xlpm.r))),FALSE)</f>
        <v>1</v>
      </c>
      <c r="AF899" s="43" t="b" cm="1">
        <f t="array" ref="AF899">IFERROR(_xlfn.BYROW(TRACK_TYPES[[#This Row],[TRACK_TYPE_NARROW_GAUGE_RAILTYPE_OHLE]:[TRACK_TYPE_NARROW_GAUGE_RAILTYPE_NONE]],_xlfn.LAMBDA(_xlpm.r,OR(_xlpm.r))),FALSE)</f>
        <v>0</v>
      </c>
      <c r="AG899" s="43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3438</v>
      </c>
      <c r="B900" s="45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43" t="b" cm="1">
        <f t="array" ref="AE900">IFERROR(_xlfn.BYROW(TRACK_TYPES[[#This Row],[TRACK_TYPE_STANDARD_GAUGE_RAILTYPE_OHLE]:[TRACK_TYPE_STANDARD_GAUGE_RAILTYPE_NONE]],_xlfn.LAMBDA(_xlpm.r,OR(_xlpm.r))),FALSE)</f>
        <v>1</v>
      </c>
      <c r="AF900" s="43" t="b" cm="1">
        <f t="array" ref="AF900">IFERROR(_xlfn.BYROW(TRACK_TYPES[[#This Row],[TRACK_TYPE_NARROW_GAUGE_RAILTYPE_OHLE]:[TRACK_TYPE_NARROW_GAUGE_RAILTYPE_NONE]],_xlfn.LAMBDA(_xlpm.r,OR(_xlpm.r))),FALSE)</f>
        <v>0</v>
      </c>
      <c r="AG900" s="43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3439</v>
      </c>
      <c r="B901" s="45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43" t="b" cm="1">
        <f t="array" ref="AE901">IFERROR(_xlfn.BYROW(TRACK_TYPES[[#This Row],[TRACK_TYPE_STANDARD_GAUGE_RAILTYPE_OHLE]:[TRACK_TYPE_STANDARD_GAUGE_RAILTYPE_NONE]],_xlfn.LAMBDA(_xlpm.r,OR(_xlpm.r))),FALSE)</f>
        <v>1</v>
      </c>
      <c r="AF901" s="43" t="b" cm="1">
        <f t="array" ref="AF901">IFERROR(_xlfn.BYROW(TRACK_TYPES[[#This Row],[TRACK_TYPE_NARROW_GAUGE_RAILTYPE_OHLE]:[TRACK_TYPE_NARROW_GAUGE_RAILTYPE_NONE]],_xlfn.LAMBDA(_xlpm.r,OR(_xlpm.r))),FALSE)</f>
        <v>0</v>
      </c>
      <c r="AG901" s="43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3440</v>
      </c>
      <c r="B902" s="45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43" t="b" cm="1">
        <f t="array" ref="AE902">IFERROR(_xlfn.BYROW(TRACK_TYPES[[#This Row],[TRACK_TYPE_STANDARD_GAUGE_RAILTYPE_OHLE]:[TRACK_TYPE_STANDARD_GAUGE_RAILTYPE_NONE]],_xlfn.LAMBDA(_xlpm.r,OR(_xlpm.r))),FALSE)</f>
        <v>1</v>
      </c>
      <c r="AF902" s="43" t="b" cm="1">
        <f t="array" ref="AF902">IFERROR(_xlfn.BYROW(TRACK_TYPES[[#This Row],[TRACK_TYPE_NARROW_GAUGE_RAILTYPE_OHLE]:[TRACK_TYPE_NARROW_GAUGE_RAILTYPE_NONE]],_xlfn.LAMBDA(_xlpm.r,OR(_xlpm.r))),FALSE)</f>
        <v>0</v>
      </c>
      <c r="AG902" s="43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3441</v>
      </c>
      <c r="B903" s="45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43" t="b" cm="1">
        <f t="array" ref="AE903">IFERROR(_xlfn.BYROW(TRACK_TYPES[[#This Row],[TRACK_TYPE_STANDARD_GAUGE_RAILTYPE_OHLE]:[TRACK_TYPE_STANDARD_GAUGE_RAILTYPE_NONE]],_xlfn.LAMBDA(_xlpm.r,OR(_xlpm.r))),FALSE)</f>
        <v>1</v>
      </c>
      <c r="AF903" s="43" t="b" cm="1">
        <f t="array" ref="AF903">IFERROR(_xlfn.BYROW(TRACK_TYPES[[#This Row],[TRACK_TYPE_NARROW_GAUGE_RAILTYPE_OHLE]:[TRACK_TYPE_NARROW_GAUGE_RAILTYPE_NONE]],_xlfn.LAMBDA(_xlpm.r,OR(_xlpm.r))),FALSE)</f>
        <v>0</v>
      </c>
      <c r="AG903" s="43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3442</v>
      </c>
      <c r="B904" s="45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43" t="b" cm="1">
        <f t="array" ref="AE904">IFERROR(_xlfn.BYROW(TRACK_TYPES[[#This Row],[TRACK_TYPE_STANDARD_GAUGE_RAILTYPE_OHLE]:[TRACK_TYPE_STANDARD_GAUGE_RAILTYPE_NONE]],_xlfn.LAMBDA(_xlpm.r,OR(_xlpm.r))),FALSE)</f>
        <v>1</v>
      </c>
      <c r="AF904" s="43" t="b" cm="1">
        <f t="array" ref="AF904">IFERROR(_xlfn.BYROW(TRACK_TYPES[[#This Row],[TRACK_TYPE_NARROW_GAUGE_RAILTYPE_OHLE]:[TRACK_TYPE_NARROW_GAUGE_RAILTYPE_NONE]],_xlfn.LAMBDA(_xlpm.r,OR(_xlpm.r))),FALSE)</f>
        <v>0</v>
      </c>
      <c r="AG904" s="43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3443</v>
      </c>
      <c r="B905" s="45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43" t="b" cm="1">
        <f t="array" ref="AE905">IFERROR(_xlfn.BYROW(TRACK_TYPES[[#This Row],[TRACK_TYPE_STANDARD_GAUGE_RAILTYPE_OHLE]:[TRACK_TYPE_STANDARD_GAUGE_RAILTYPE_NONE]],_xlfn.LAMBDA(_xlpm.r,OR(_xlpm.r))),FALSE)</f>
        <v>0</v>
      </c>
      <c r="AF905" s="43" t="b" cm="1">
        <f t="array" ref="AF905">IFERROR(_xlfn.BYROW(TRACK_TYPES[[#This Row],[TRACK_TYPE_NARROW_GAUGE_RAILTYPE_OHLE]:[TRACK_TYPE_NARROW_GAUGE_RAILTYPE_NONE]],_xlfn.LAMBDA(_xlpm.r,OR(_xlpm.r))),FALSE)</f>
        <v>1</v>
      </c>
      <c r="AG905" s="43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3444</v>
      </c>
      <c r="B906" s="45" t="str">
        <f>_xlfn.XLOOKUP(PROPERTIES[[#This Row],[VEHIDCODE]],CONTROL[VEHIDCODE],CONTROL[ENGLISH])</f>
        <v>Comeng W Class 'Sputnik'</v>
      </c>
      <c r="O906" t="b">
        <v>1</v>
      </c>
      <c r="AC906" s="2"/>
      <c r="AD906" s="2" t="b">
        <f>LEN(_xlfn.CONCAT(TRACK_TYPES[[#This Row],[TRACK_TYPE_STANDARD_GAUGE_RAILTYPE_OHLE]:[TRACK_TYPE_MTRO]]))&gt;0</f>
        <v>1</v>
      </c>
      <c r="AE906" s="43" t="b" cm="1">
        <f t="array" ref="AE906">IFERROR(_xlfn.BYROW(TRACK_TYPES[[#This Row],[TRACK_TYPE_STANDARD_GAUGE_RAILTYPE_OHLE]:[TRACK_TYPE_STANDARD_GAUGE_RAILTYPE_NONE]],_xlfn.LAMBDA(_xlpm.r,OR(_xlpm.r))),FALSE)</f>
        <v>0</v>
      </c>
      <c r="AF906" s="43" t="b" cm="1">
        <f t="array" ref="AF906">IFERROR(_xlfn.BYROW(TRACK_TYPES[[#This Row],[TRACK_TYPE_NARROW_GAUGE_RAILTYPE_OHLE]:[TRACK_TYPE_NARROW_GAUGE_RAILTYPE_NONE]],_xlfn.LAMBDA(_xlpm.r,OR(_xlpm.r))),FALSE)</f>
        <v>1</v>
      </c>
      <c r="AG906" s="43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4">
      <c r="A907" s="2" t="s">
        <v>3445</v>
      </c>
      <c r="B907" s="45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43" t="b" cm="1">
        <f t="array" ref="AE907">IFERROR(_xlfn.BYROW(TRACK_TYPES[[#This Row],[TRACK_TYPE_STANDARD_GAUGE_RAILTYPE_OHLE]:[TRACK_TYPE_STANDARD_GAUGE_RAILTYPE_NONE]],_xlfn.LAMBDA(_xlpm.r,OR(_xlpm.r))),FALSE)</f>
        <v>1</v>
      </c>
      <c r="AF907" s="43" t="b" cm="1">
        <f t="array" ref="AF907">IFERROR(_xlfn.BYROW(TRACK_TYPES[[#This Row],[TRACK_TYPE_NARROW_GAUGE_RAILTYPE_OHLE]:[TRACK_TYPE_NARROW_GAUGE_RAILTYPE_NONE]],_xlfn.LAMBDA(_xlpm.r,OR(_xlpm.r))),FALSE)</f>
        <v>0</v>
      </c>
      <c r="AG907" s="43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3446</v>
      </c>
      <c r="B908" s="45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43" t="b" cm="1">
        <f t="array" ref="AE908">IFERROR(_xlfn.BYROW(TRACK_TYPES[[#This Row],[TRACK_TYPE_STANDARD_GAUGE_RAILTYPE_OHLE]:[TRACK_TYPE_STANDARD_GAUGE_RAILTYPE_NONE]],_xlfn.LAMBDA(_xlpm.r,OR(_xlpm.r))),FALSE)</f>
        <v>1</v>
      </c>
      <c r="AF908" s="43" t="b" cm="1">
        <f t="array" ref="AF908">IFERROR(_xlfn.BYROW(TRACK_TYPES[[#This Row],[TRACK_TYPE_NARROW_GAUGE_RAILTYPE_OHLE]:[TRACK_TYPE_NARROW_GAUGE_RAILTYPE_NONE]],_xlfn.LAMBDA(_xlpm.r,OR(_xlpm.r))),FALSE)</f>
        <v>0</v>
      </c>
      <c r="AG908" s="43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3447</v>
      </c>
      <c r="B909" s="45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43" t="b" cm="1">
        <f t="array" ref="AE909">IFERROR(_xlfn.BYROW(TRACK_TYPES[[#This Row],[TRACK_TYPE_STANDARD_GAUGE_RAILTYPE_OHLE]:[TRACK_TYPE_STANDARD_GAUGE_RAILTYPE_NONE]],_xlfn.LAMBDA(_xlpm.r,OR(_xlpm.r))),FALSE)</f>
        <v>0</v>
      </c>
      <c r="AF909" s="43" t="b" cm="1">
        <f t="array" ref="AF909">IFERROR(_xlfn.BYROW(TRACK_TYPES[[#This Row],[TRACK_TYPE_NARROW_GAUGE_RAILTYPE_OHLE]:[TRACK_TYPE_NARROW_GAUGE_RAILTYPE_NONE]],_xlfn.LAMBDA(_xlpm.r,OR(_xlpm.r))),FALSE)</f>
        <v>0</v>
      </c>
      <c r="AG909" s="43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1896</v>
      </c>
      <c r="B910" s="45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43" t="b" cm="1">
        <f t="array" ref="AE910">IFERROR(_xlfn.BYROW(TRACK_TYPES[[#This Row],[TRACK_TYPE_STANDARD_GAUGE_RAILTYPE_OHLE]:[TRACK_TYPE_STANDARD_GAUGE_RAILTYPE_NONE]],_xlfn.LAMBDA(_xlpm.r,OR(_xlpm.r))),FALSE)</f>
        <v>1</v>
      </c>
      <c r="AF910" s="43" t="b" cm="1">
        <f t="array" ref="AF910">IFERROR(_xlfn.BYROW(TRACK_TYPES[[#This Row],[TRACK_TYPE_NARROW_GAUGE_RAILTYPE_OHLE]:[TRACK_TYPE_NARROW_GAUGE_RAILTYPE_NONE]],_xlfn.LAMBDA(_xlpm.r,OR(_xlpm.r))),FALSE)</f>
        <v>1</v>
      </c>
      <c r="AG910" s="43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1898</v>
      </c>
      <c r="B911" s="45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43" t="b" cm="1">
        <f t="array" ref="AE911">IFERROR(_xlfn.BYROW(TRACK_TYPES[[#This Row],[TRACK_TYPE_STANDARD_GAUGE_RAILTYPE_OHLE]:[TRACK_TYPE_STANDARD_GAUGE_RAILTYPE_NONE]],_xlfn.LAMBDA(_xlpm.r,OR(_xlpm.r))),FALSE)</f>
        <v>1</v>
      </c>
      <c r="AF911" s="43" t="b" cm="1">
        <f t="array" ref="AF911">IFERROR(_xlfn.BYROW(TRACK_TYPES[[#This Row],[TRACK_TYPE_NARROW_GAUGE_RAILTYPE_OHLE]:[TRACK_TYPE_NARROW_GAUGE_RAILTYPE_NONE]],_xlfn.LAMBDA(_xlpm.r,OR(_xlpm.r))),FALSE)</f>
        <v>1</v>
      </c>
      <c r="AG911" s="43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1899</v>
      </c>
      <c r="B912" s="45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43" t="b" cm="1">
        <f t="array" ref="AE912">IFERROR(_xlfn.BYROW(TRACK_TYPES[[#This Row],[TRACK_TYPE_STANDARD_GAUGE_RAILTYPE_OHLE]:[TRACK_TYPE_STANDARD_GAUGE_RAILTYPE_NONE]],_xlfn.LAMBDA(_xlpm.r,OR(_xlpm.r))),FALSE)</f>
        <v>1</v>
      </c>
      <c r="AF912" s="43" t="b" cm="1">
        <f t="array" ref="AF912">IFERROR(_xlfn.BYROW(TRACK_TYPES[[#This Row],[TRACK_TYPE_NARROW_GAUGE_RAILTYPE_OHLE]:[TRACK_TYPE_NARROW_GAUGE_RAILTYPE_NONE]],_xlfn.LAMBDA(_xlpm.r,OR(_xlpm.r))),FALSE)</f>
        <v>1</v>
      </c>
      <c r="AG912" s="43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1900</v>
      </c>
      <c r="B913" s="45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43" t="b" cm="1">
        <f t="array" ref="AE913">IFERROR(_xlfn.BYROW(TRACK_TYPES[[#This Row],[TRACK_TYPE_STANDARD_GAUGE_RAILTYPE_OHLE]:[TRACK_TYPE_STANDARD_GAUGE_RAILTYPE_NONE]],_xlfn.LAMBDA(_xlpm.r,OR(_xlpm.r))),FALSE)</f>
        <v>1</v>
      </c>
      <c r="AF913" s="43" t="b" cm="1">
        <f t="array" ref="AF913">IFERROR(_xlfn.BYROW(TRACK_TYPES[[#This Row],[TRACK_TYPE_NARROW_GAUGE_RAILTYPE_OHLE]:[TRACK_TYPE_NARROW_GAUGE_RAILTYPE_NONE]],_xlfn.LAMBDA(_xlpm.r,OR(_xlpm.r))),FALSE)</f>
        <v>1</v>
      </c>
      <c r="AG913" s="43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1903</v>
      </c>
      <c r="B914" s="45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43" t="b" cm="1">
        <f t="array" ref="AE914">IFERROR(_xlfn.BYROW(TRACK_TYPES[[#This Row],[TRACK_TYPE_STANDARD_GAUGE_RAILTYPE_OHLE]:[TRACK_TYPE_STANDARD_GAUGE_RAILTYPE_NONE]],_xlfn.LAMBDA(_xlpm.r,OR(_xlpm.r))),FALSE)</f>
        <v>1</v>
      </c>
      <c r="AF914" s="43" t="b" cm="1">
        <f t="array" ref="AF914">IFERROR(_xlfn.BYROW(TRACK_TYPES[[#This Row],[TRACK_TYPE_NARROW_GAUGE_RAILTYPE_OHLE]:[TRACK_TYPE_NARROW_GAUGE_RAILTYPE_NONE]],_xlfn.LAMBDA(_xlpm.r,OR(_xlpm.r))),FALSE)</f>
        <v>1</v>
      </c>
      <c r="AG914" s="43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1904</v>
      </c>
      <c r="B915" s="45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43" t="b" cm="1">
        <f t="array" ref="AE915">IFERROR(_xlfn.BYROW(TRACK_TYPES[[#This Row],[TRACK_TYPE_STANDARD_GAUGE_RAILTYPE_OHLE]:[TRACK_TYPE_STANDARD_GAUGE_RAILTYPE_NONE]],_xlfn.LAMBDA(_xlpm.r,OR(_xlpm.r))),FALSE)</f>
        <v>1</v>
      </c>
      <c r="AF915" s="43" t="b" cm="1">
        <f t="array" ref="AF915">IFERROR(_xlfn.BYROW(TRACK_TYPES[[#This Row],[TRACK_TYPE_NARROW_GAUGE_RAILTYPE_OHLE]:[TRACK_TYPE_NARROW_GAUGE_RAILTYPE_NONE]],_xlfn.LAMBDA(_xlpm.r,OR(_xlpm.r))),FALSE)</f>
        <v>1</v>
      </c>
      <c r="AG915" s="43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1907</v>
      </c>
      <c r="B916" s="45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43" t="b" cm="1">
        <f t="array" ref="AE916">IFERROR(_xlfn.BYROW(TRACK_TYPES[[#This Row],[TRACK_TYPE_STANDARD_GAUGE_RAILTYPE_OHLE]:[TRACK_TYPE_STANDARD_GAUGE_RAILTYPE_NONE]],_xlfn.LAMBDA(_xlpm.r,OR(_xlpm.r))),FALSE)</f>
        <v>1</v>
      </c>
      <c r="AF916" s="43" t="b" cm="1">
        <f t="array" ref="AF916">IFERROR(_xlfn.BYROW(TRACK_TYPES[[#This Row],[TRACK_TYPE_NARROW_GAUGE_RAILTYPE_OHLE]:[TRACK_TYPE_NARROW_GAUGE_RAILTYPE_NONE]],_xlfn.LAMBDA(_xlpm.r,OR(_xlpm.r))),FALSE)</f>
        <v>0</v>
      </c>
      <c r="AG916" s="43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1908</v>
      </c>
      <c r="B917" s="45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43" t="b" cm="1">
        <f t="array" ref="AE917">IFERROR(_xlfn.BYROW(TRACK_TYPES[[#This Row],[TRACK_TYPE_STANDARD_GAUGE_RAILTYPE_OHLE]:[TRACK_TYPE_STANDARD_GAUGE_RAILTYPE_NONE]],_xlfn.LAMBDA(_xlpm.r,OR(_xlpm.r))),FALSE)</f>
        <v>1</v>
      </c>
      <c r="AF917" s="43" t="b" cm="1">
        <f t="array" ref="AF917">IFERROR(_xlfn.BYROW(TRACK_TYPES[[#This Row],[TRACK_TYPE_NARROW_GAUGE_RAILTYPE_OHLE]:[TRACK_TYPE_NARROW_GAUGE_RAILTYPE_NONE]],_xlfn.LAMBDA(_xlpm.r,OR(_xlpm.r))),FALSE)</f>
        <v>0</v>
      </c>
      <c r="AG917" s="43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1910</v>
      </c>
      <c r="B918" s="45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43" t="b" cm="1">
        <f t="array" ref="AE918">IFERROR(_xlfn.BYROW(TRACK_TYPES[[#This Row],[TRACK_TYPE_STANDARD_GAUGE_RAILTYPE_OHLE]:[TRACK_TYPE_STANDARD_GAUGE_RAILTYPE_NONE]],_xlfn.LAMBDA(_xlpm.r,OR(_xlpm.r))),FALSE)</f>
        <v>0</v>
      </c>
      <c r="AF918" s="43" t="b" cm="1">
        <f t="array" ref="AF918">IFERROR(_xlfn.BYROW(TRACK_TYPES[[#This Row],[TRACK_TYPE_NARROW_GAUGE_RAILTYPE_OHLE]:[TRACK_TYPE_NARROW_GAUGE_RAILTYPE_NONE]],_xlfn.LAMBDA(_xlpm.r,OR(_xlpm.r))),FALSE)</f>
        <v>0</v>
      </c>
      <c r="AG918" s="43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1912</v>
      </c>
      <c r="B919" s="45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43" t="b" cm="1">
        <f t="array" ref="AE919">IFERROR(_xlfn.BYROW(TRACK_TYPES[[#This Row],[TRACK_TYPE_STANDARD_GAUGE_RAILTYPE_OHLE]:[TRACK_TYPE_STANDARD_GAUGE_RAILTYPE_NONE]],_xlfn.LAMBDA(_xlpm.r,OR(_xlpm.r))),FALSE)</f>
        <v>1</v>
      </c>
      <c r="AF919" s="43" t="b" cm="1">
        <f t="array" ref="AF919">IFERROR(_xlfn.BYROW(TRACK_TYPES[[#This Row],[TRACK_TYPE_NARROW_GAUGE_RAILTYPE_OHLE]:[TRACK_TYPE_NARROW_GAUGE_RAILTYPE_NONE]],_xlfn.LAMBDA(_xlpm.r,OR(_xlpm.r))),FALSE)</f>
        <v>0</v>
      </c>
      <c r="AG919" s="43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1913</v>
      </c>
      <c r="B920" s="45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43" t="b" cm="1">
        <f t="array" ref="AE920">IFERROR(_xlfn.BYROW(TRACK_TYPES[[#This Row],[TRACK_TYPE_STANDARD_GAUGE_RAILTYPE_OHLE]:[TRACK_TYPE_STANDARD_GAUGE_RAILTYPE_NONE]],_xlfn.LAMBDA(_xlpm.r,OR(_xlpm.r))),FALSE)</f>
        <v>1</v>
      </c>
      <c r="AF920" s="43" t="b" cm="1">
        <f t="array" ref="AF920">IFERROR(_xlfn.BYROW(TRACK_TYPES[[#This Row],[TRACK_TYPE_NARROW_GAUGE_RAILTYPE_OHLE]:[TRACK_TYPE_NARROW_GAUGE_RAILTYPE_NONE]],_xlfn.LAMBDA(_xlpm.r,OR(_xlpm.r))),FALSE)</f>
        <v>0</v>
      </c>
      <c r="AG920" s="43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1915</v>
      </c>
      <c r="B921" s="45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43" t="b" cm="1">
        <f t="array" ref="AE921">IFERROR(_xlfn.BYROW(TRACK_TYPES[[#This Row],[TRACK_TYPE_STANDARD_GAUGE_RAILTYPE_OHLE]:[TRACK_TYPE_STANDARD_GAUGE_RAILTYPE_NONE]],_xlfn.LAMBDA(_xlpm.r,OR(_xlpm.r))),FALSE)</f>
        <v>0</v>
      </c>
      <c r="AF921" s="43" t="b" cm="1">
        <f t="array" ref="AF921">IFERROR(_xlfn.BYROW(TRACK_TYPES[[#This Row],[TRACK_TYPE_NARROW_GAUGE_RAILTYPE_OHLE]:[TRACK_TYPE_NARROW_GAUGE_RAILTYPE_NONE]],_xlfn.LAMBDA(_xlpm.r,OR(_xlpm.r))),FALSE)</f>
        <v>1</v>
      </c>
      <c r="AG921" s="43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1917</v>
      </c>
      <c r="B922" s="45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43" t="b" cm="1">
        <f t="array" ref="AE922">IFERROR(_xlfn.BYROW(TRACK_TYPES[[#This Row],[TRACK_TYPE_STANDARD_GAUGE_RAILTYPE_OHLE]:[TRACK_TYPE_STANDARD_GAUGE_RAILTYPE_NONE]],_xlfn.LAMBDA(_xlpm.r,OR(_xlpm.r))),FALSE)</f>
        <v>0</v>
      </c>
      <c r="AF922" s="43" t="b" cm="1">
        <f t="array" ref="AF922">IFERROR(_xlfn.BYROW(TRACK_TYPES[[#This Row],[TRACK_TYPE_NARROW_GAUGE_RAILTYPE_OHLE]:[TRACK_TYPE_NARROW_GAUGE_RAILTYPE_NONE]],_xlfn.LAMBDA(_xlpm.r,OR(_xlpm.r))),FALSE)</f>
        <v>1</v>
      </c>
      <c r="AG922" s="43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1919</v>
      </c>
      <c r="B923" s="45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43" t="b" cm="1">
        <f t="array" ref="AE923">IFERROR(_xlfn.BYROW(TRACK_TYPES[[#This Row],[TRACK_TYPE_STANDARD_GAUGE_RAILTYPE_OHLE]:[TRACK_TYPE_STANDARD_GAUGE_RAILTYPE_NONE]],_xlfn.LAMBDA(_xlpm.r,OR(_xlpm.r))),FALSE)</f>
        <v>1</v>
      </c>
      <c r="AF923" s="43" t="b" cm="1">
        <f t="array" ref="AF923">IFERROR(_xlfn.BYROW(TRACK_TYPES[[#This Row],[TRACK_TYPE_NARROW_GAUGE_RAILTYPE_OHLE]:[TRACK_TYPE_NARROW_GAUGE_RAILTYPE_NONE]],_xlfn.LAMBDA(_xlpm.r,OR(_xlpm.r))),FALSE)</f>
        <v>0</v>
      </c>
      <c r="AG923" s="43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1920</v>
      </c>
      <c r="B924" s="45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43" t="b" cm="1">
        <f t="array" ref="AE924">IFERROR(_xlfn.BYROW(TRACK_TYPES[[#This Row],[TRACK_TYPE_STANDARD_GAUGE_RAILTYPE_OHLE]:[TRACK_TYPE_STANDARD_GAUGE_RAILTYPE_NONE]],_xlfn.LAMBDA(_xlpm.r,OR(_xlpm.r))),FALSE)</f>
        <v>1</v>
      </c>
      <c r="AF924" s="43" t="b" cm="1">
        <f t="array" ref="AF924">IFERROR(_xlfn.BYROW(TRACK_TYPES[[#This Row],[TRACK_TYPE_NARROW_GAUGE_RAILTYPE_OHLE]:[TRACK_TYPE_NARROW_GAUGE_RAILTYPE_NONE]],_xlfn.LAMBDA(_xlpm.r,OR(_xlpm.r))),FALSE)</f>
        <v>0</v>
      </c>
      <c r="AG924" s="43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1924</v>
      </c>
      <c r="B925" s="45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43" t="b" cm="1">
        <f t="array" ref="AE925">IFERROR(_xlfn.BYROW(TRACK_TYPES[[#This Row],[TRACK_TYPE_STANDARD_GAUGE_RAILTYPE_OHLE]:[TRACK_TYPE_STANDARD_GAUGE_RAILTYPE_NONE]],_xlfn.LAMBDA(_xlpm.r,OR(_xlpm.r))),FALSE)</f>
        <v>1</v>
      </c>
      <c r="AF925" s="43" t="b" cm="1">
        <f t="array" ref="AF925">IFERROR(_xlfn.BYROW(TRACK_TYPES[[#This Row],[TRACK_TYPE_NARROW_GAUGE_RAILTYPE_OHLE]:[TRACK_TYPE_NARROW_GAUGE_RAILTYPE_NONE]],_xlfn.LAMBDA(_xlpm.r,OR(_xlpm.r))),FALSE)</f>
        <v>0</v>
      </c>
      <c r="AG925" s="43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1926</v>
      </c>
      <c r="B926" s="45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43" t="b" cm="1">
        <f t="array" ref="AE926">IFERROR(_xlfn.BYROW(TRACK_TYPES[[#This Row],[TRACK_TYPE_STANDARD_GAUGE_RAILTYPE_OHLE]:[TRACK_TYPE_STANDARD_GAUGE_RAILTYPE_NONE]],_xlfn.LAMBDA(_xlpm.r,OR(_xlpm.r))),FALSE)</f>
        <v>1</v>
      </c>
      <c r="AF926" s="43" t="b" cm="1">
        <f t="array" ref="AF926">IFERROR(_xlfn.BYROW(TRACK_TYPES[[#This Row],[TRACK_TYPE_NARROW_GAUGE_RAILTYPE_OHLE]:[TRACK_TYPE_NARROW_GAUGE_RAILTYPE_NONE]],_xlfn.LAMBDA(_xlpm.r,OR(_xlpm.r))),FALSE)</f>
        <v>0</v>
      </c>
      <c r="AG926" s="43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1927</v>
      </c>
      <c r="B927" s="45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43" t="b" cm="1">
        <f t="array" ref="AE927">IFERROR(_xlfn.BYROW(TRACK_TYPES[[#This Row],[TRACK_TYPE_STANDARD_GAUGE_RAILTYPE_OHLE]:[TRACK_TYPE_STANDARD_GAUGE_RAILTYPE_NONE]],_xlfn.LAMBDA(_xlpm.r,OR(_xlpm.r))),FALSE)</f>
        <v>1</v>
      </c>
      <c r="AF927" s="43" t="b" cm="1">
        <f t="array" ref="AF927">IFERROR(_xlfn.BYROW(TRACK_TYPES[[#This Row],[TRACK_TYPE_NARROW_GAUGE_RAILTYPE_OHLE]:[TRACK_TYPE_NARROW_GAUGE_RAILTYPE_NONE]],_xlfn.LAMBDA(_xlpm.r,OR(_xlpm.r))),FALSE)</f>
        <v>0</v>
      </c>
      <c r="AG927" s="43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1929</v>
      </c>
      <c r="B928" s="45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43" t="b" cm="1">
        <f t="array" ref="AE928">IFERROR(_xlfn.BYROW(TRACK_TYPES[[#This Row],[TRACK_TYPE_STANDARD_GAUGE_RAILTYPE_OHLE]:[TRACK_TYPE_STANDARD_GAUGE_RAILTYPE_NONE]],_xlfn.LAMBDA(_xlpm.r,OR(_xlpm.r))),FALSE)</f>
        <v>0</v>
      </c>
      <c r="AF928" s="43" t="b" cm="1">
        <f t="array" ref="AF928">IFERROR(_xlfn.BYROW(TRACK_TYPES[[#This Row],[TRACK_TYPE_NARROW_GAUGE_RAILTYPE_OHLE]:[TRACK_TYPE_NARROW_GAUGE_RAILTYPE_NONE]],_xlfn.LAMBDA(_xlpm.r,OR(_xlpm.r))),FALSE)</f>
        <v>1</v>
      </c>
      <c r="AG928" s="43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1931</v>
      </c>
      <c r="B929" s="45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43" t="b" cm="1">
        <f t="array" ref="AE929">IFERROR(_xlfn.BYROW(TRACK_TYPES[[#This Row],[TRACK_TYPE_STANDARD_GAUGE_RAILTYPE_OHLE]:[TRACK_TYPE_STANDARD_GAUGE_RAILTYPE_NONE]],_xlfn.LAMBDA(_xlpm.r,OR(_xlpm.r))),FALSE)</f>
        <v>0</v>
      </c>
      <c r="AF929" s="43" t="b" cm="1">
        <f t="array" ref="AF929">IFERROR(_xlfn.BYROW(TRACK_TYPES[[#This Row],[TRACK_TYPE_NARROW_GAUGE_RAILTYPE_OHLE]:[TRACK_TYPE_NARROW_GAUGE_RAILTYPE_NONE]],_xlfn.LAMBDA(_xlpm.r,OR(_xlpm.r))),FALSE)</f>
        <v>1</v>
      </c>
      <c r="AG929" s="43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1932</v>
      </c>
      <c r="B930" s="45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43" t="b" cm="1">
        <f t="array" ref="AE930">IFERROR(_xlfn.BYROW(TRACK_TYPES[[#This Row],[TRACK_TYPE_STANDARD_GAUGE_RAILTYPE_OHLE]:[TRACK_TYPE_STANDARD_GAUGE_RAILTYPE_NONE]],_xlfn.LAMBDA(_xlpm.r,OR(_xlpm.r))),FALSE)</f>
        <v>0</v>
      </c>
      <c r="AF930" s="43" t="b" cm="1">
        <f t="array" ref="AF930">IFERROR(_xlfn.BYROW(TRACK_TYPES[[#This Row],[TRACK_TYPE_NARROW_GAUGE_RAILTYPE_OHLE]:[TRACK_TYPE_NARROW_GAUGE_RAILTYPE_NONE]],_xlfn.LAMBDA(_xlpm.r,OR(_xlpm.r))),FALSE)</f>
        <v>1</v>
      </c>
      <c r="AG930" s="43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1940</v>
      </c>
      <c r="B931" s="45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43" t="b" cm="1">
        <f t="array" ref="AE931">IFERROR(_xlfn.BYROW(TRACK_TYPES[[#This Row],[TRACK_TYPE_STANDARD_GAUGE_RAILTYPE_OHLE]:[TRACK_TYPE_STANDARD_GAUGE_RAILTYPE_NONE]],_xlfn.LAMBDA(_xlpm.r,OR(_xlpm.r))),FALSE)</f>
        <v>0</v>
      </c>
      <c r="AF931" s="43" t="b" cm="1">
        <f t="array" ref="AF931">IFERROR(_xlfn.BYROW(TRACK_TYPES[[#This Row],[TRACK_TYPE_NARROW_GAUGE_RAILTYPE_OHLE]:[TRACK_TYPE_NARROW_GAUGE_RAILTYPE_NONE]],_xlfn.LAMBDA(_xlpm.r,OR(_xlpm.r))),FALSE)</f>
        <v>1</v>
      </c>
      <c r="AG931" s="43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1941</v>
      </c>
      <c r="B932" s="45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43" t="b" cm="1">
        <f t="array" ref="AE932">IFERROR(_xlfn.BYROW(TRACK_TYPES[[#This Row],[TRACK_TYPE_STANDARD_GAUGE_RAILTYPE_OHLE]:[TRACK_TYPE_STANDARD_GAUGE_RAILTYPE_NONE]],_xlfn.LAMBDA(_xlpm.r,OR(_xlpm.r))),FALSE)</f>
        <v>0</v>
      </c>
      <c r="AF932" s="43" t="b" cm="1">
        <f t="array" ref="AF932">IFERROR(_xlfn.BYROW(TRACK_TYPES[[#This Row],[TRACK_TYPE_NARROW_GAUGE_RAILTYPE_OHLE]:[TRACK_TYPE_NARROW_GAUGE_RAILTYPE_NONE]],_xlfn.LAMBDA(_xlpm.r,OR(_xlpm.r))),FALSE)</f>
        <v>1</v>
      </c>
      <c r="AG932" s="43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1943</v>
      </c>
      <c r="B933" s="45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43" t="b" cm="1">
        <f t="array" ref="AE933">IFERROR(_xlfn.BYROW(TRACK_TYPES[[#This Row],[TRACK_TYPE_STANDARD_GAUGE_RAILTYPE_OHLE]:[TRACK_TYPE_STANDARD_GAUGE_RAILTYPE_NONE]],_xlfn.LAMBDA(_xlpm.r,OR(_xlpm.r))),FALSE)</f>
        <v>1</v>
      </c>
      <c r="AF933" s="43" t="b" cm="1">
        <f t="array" ref="AF933">IFERROR(_xlfn.BYROW(TRACK_TYPES[[#This Row],[TRACK_TYPE_NARROW_GAUGE_RAILTYPE_OHLE]:[TRACK_TYPE_NARROW_GAUGE_RAILTYPE_NONE]],_xlfn.LAMBDA(_xlpm.r,OR(_xlpm.r))),FALSE)</f>
        <v>0</v>
      </c>
      <c r="AG933" s="43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3448</v>
      </c>
      <c r="B934" s="45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43" t="b" cm="1">
        <f t="array" ref="AE934">IFERROR(_xlfn.BYROW(TRACK_TYPES[[#This Row],[TRACK_TYPE_STANDARD_GAUGE_RAILTYPE_OHLE]:[TRACK_TYPE_STANDARD_GAUGE_RAILTYPE_NONE]],_xlfn.LAMBDA(_xlpm.r,OR(_xlpm.r))),FALSE)</f>
        <v>1</v>
      </c>
      <c r="AF934" s="43" t="b" cm="1">
        <f t="array" ref="AF934">IFERROR(_xlfn.BYROW(TRACK_TYPES[[#This Row],[TRACK_TYPE_NARROW_GAUGE_RAILTYPE_OHLE]:[TRACK_TYPE_NARROW_GAUGE_RAILTYPE_NONE]],_xlfn.LAMBDA(_xlpm.r,OR(_xlpm.r))),FALSE)</f>
        <v>0</v>
      </c>
      <c r="AG934" s="43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3320</v>
      </c>
      <c r="B935" s="45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43" t="b" cm="1">
        <f t="array" ref="AE935">IFERROR(_xlfn.BYROW(TRACK_TYPES[[#This Row],[TRACK_TYPE_STANDARD_GAUGE_RAILTYPE_OHLE]:[TRACK_TYPE_STANDARD_GAUGE_RAILTYPE_NONE]],_xlfn.LAMBDA(_xlpm.r,OR(_xlpm.r))),FALSE)</f>
        <v>0</v>
      </c>
      <c r="AF935" s="43" t="b" cm="1">
        <f t="array" ref="AF935">IFERROR(_xlfn.BYROW(TRACK_TYPES[[#This Row],[TRACK_TYPE_NARROW_GAUGE_RAILTYPE_OHLE]:[TRACK_TYPE_NARROW_GAUGE_RAILTYPE_NONE]],_xlfn.LAMBDA(_xlpm.r,OR(_xlpm.r))),FALSE)</f>
        <v>1</v>
      </c>
      <c r="AG935" s="43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3449</v>
      </c>
      <c r="B936" s="45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43" t="b" cm="1">
        <f t="array" ref="AE936">IFERROR(_xlfn.BYROW(TRACK_TYPES[[#This Row],[TRACK_TYPE_STANDARD_GAUGE_RAILTYPE_OHLE]:[TRACK_TYPE_STANDARD_GAUGE_RAILTYPE_NONE]],_xlfn.LAMBDA(_xlpm.r,OR(_xlpm.r))),FALSE)</f>
        <v>0</v>
      </c>
      <c r="AF936" s="43" t="b" cm="1">
        <f t="array" ref="AF936">IFERROR(_xlfn.BYROW(TRACK_TYPES[[#This Row],[TRACK_TYPE_NARROW_GAUGE_RAILTYPE_OHLE]:[TRACK_TYPE_NARROW_GAUGE_RAILTYPE_NONE]],_xlfn.LAMBDA(_xlpm.r,OR(_xlpm.r))),FALSE)</f>
        <v>1</v>
      </c>
      <c r="AG936" s="43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3450</v>
      </c>
      <c r="B937" s="45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43" t="b" cm="1">
        <f t="array" ref="AE937">IFERROR(_xlfn.BYROW(TRACK_TYPES[[#This Row],[TRACK_TYPE_STANDARD_GAUGE_RAILTYPE_OHLE]:[TRACK_TYPE_STANDARD_GAUGE_RAILTYPE_NONE]],_xlfn.LAMBDA(_xlpm.r,OR(_xlpm.r))),FALSE)</f>
        <v>0</v>
      </c>
      <c r="AF937" s="43" t="b" cm="1">
        <f t="array" ref="AF937">IFERROR(_xlfn.BYROW(TRACK_TYPES[[#This Row],[TRACK_TYPE_NARROW_GAUGE_RAILTYPE_OHLE]:[TRACK_TYPE_NARROW_GAUGE_RAILTYPE_NONE]],_xlfn.LAMBDA(_xlpm.r,OR(_xlpm.r))),FALSE)</f>
        <v>1</v>
      </c>
      <c r="AG937" s="43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3451</v>
      </c>
      <c r="B938" s="45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43" t="b" cm="1">
        <f t="array" ref="AE938">IFERROR(_xlfn.BYROW(TRACK_TYPES[[#This Row],[TRACK_TYPE_STANDARD_GAUGE_RAILTYPE_OHLE]:[TRACK_TYPE_STANDARD_GAUGE_RAILTYPE_NONE]],_xlfn.LAMBDA(_xlpm.r,OR(_xlpm.r))),FALSE)</f>
        <v>1</v>
      </c>
      <c r="AF938" s="43" t="b" cm="1">
        <f t="array" ref="AF938">IFERROR(_xlfn.BYROW(TRACK_TYPES[[#This Row],[TRACK_TYPE_NARROW_GAUGE_RAILTYPE_OHLE]:[TRACK_TYPE_NARROW_GAUGE_RAILTYPE_NONE]],_xlfn.LAMBDA(_xlpm.r,OR(_xlpm.r))),FALSE)</f>
        <v>0</v>
      </c>
      <c r="AG938" s="43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3452</v>
      </c>
      <c r="B939" s="45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43" t="b" cm="1">
        <f t="array" ref="AE939">IFERROR(_xlfn.BYROW(TRACK_TYPES[[#This Row],[TRACK_TYPE_STANDARD_GAUGE_RAILTYPE_OHLE]:[TRACK_TYPE_STANDARD_GAUGE_RAILTYPE_NONE]],_xlfn.LAMBDA(_xlpm.r,OR(_xlpm.r))),FALSE)</f>
        <v>0</v>
      </c>
      <c r="AF939" s="43" t="b" cm="1">
        <f t="array" ref="AF939">IFERROR(_xlfn.BYROW(TRACK_TYPES[[#This Row],[TRACK_TYPE_NARROW_GAUGE_RAILTYPE_OHLE]:[TRACK_TYPE_NARROW_GAUGE_RAILTYPE_NONE]],_xlfn.LAMBDA(_xlpm.r,OR(_xlpm.r))),FALSE)</f>
        <v>1</v>
      </c>
      <c r="AG939" s="43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3453</v>
      </c>
      <c r="B940" s="45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43" t="b" cm="1">
        <f t="array" ref="AE940">IFERROR(_xlfn.BYROW(TRACK_TYPES[[#This Row],[TRACK_TYPE_STANDARD_GAUGE_RAILTYPE_OHLE]:[TRACK_TYPE_STANDARD_GAUGE_RAILTYPE_NONE]],_xlfn.LAMBDA(_xlpm.r,OR(_xlpm.r))),FALSE)</f>
        <v>1</v>
      </c>
      <c r="AF940" s="43" t="b" cm="1">
        <f t="array" ref="AF940">IFERROR(_xlfn.BYROW(TRACK_TYPES[[#This Row],[TRACK_TYPE_NARROW_GAUGE_RAILTYPE_OHLE]:[TRACK_TYPE_NARROW_GAUGE_RAILTYPE_NONE]],_xlfn.LAMBDA(_xlpm.r,OR(_xlpm.r))),FALSE)</f>
        <v>0</v>
      </c>
      <c r="AG940" s="43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3454</v>
      </c>
      <c r="B941" s="45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43" t="b" cm="1">
        <f t="array" ref="AE941">IFERROR(_xlfn.BYROW(TRACK_TYPES[[#This Row],[TRACK_TYPE_STANDARD_GAUGE_RAILTYPE_OHLE]:[TRACK_TYPE_STANDARD_GAUGE_RAILTYPE_NONE]],_xlfn.LAMBDA(_xlpm.r,OR(_xlpm.r))),FALSE)</f>
        <v>1</v>
      </c>
      <c r="AF941" s="43" t="b" cm="1">
        <f t="array" ref="AF941">IFERROR(_xlfn.BYROW(TRACK_TYPES[[#This Row],[TRACK_TYPE_NARROW_GAUGE_RAILTYPE_OHLE]:[TRACK_TYPE_NARROW_GAUGE_RAILTYPE_NONE]],_xlfn.LAMBDA(_xlpm.r,OR(_xlpm.r))),FALSE)</f>
        <v>0</v>
      </c>
      <c r="AG941" s="43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3455</v>
      </c>
      <c r="B942" s="45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43" t="b" cm="1">
        <f t="array" ref="AE942">IFERROR(_xlfn.BYROW(TRACK_TYPES[[#This Row],[TRACK_TYPE_STANDARD_GAUGE_RAILTYPE_OHLE]:[TRACK_TYPE_STANDARD_GAUGE_RAILTYPE_NONE]],_xlfn.LAMBDA(_xlpm.r,OR(_xlpm.r))),FALSE)</f>
        <v>1</v>
      </c>
      <c r="AF942" s="43" t="b" cm="1">
        <f t="array" ref="AF942">IFERROR(_xlfn.BYROW(TRACK_TYPES[[#This Row],[TRACK_TYPE_NARROW_GAUGE_RAILTYPE_OHLE]:[TRACK_TYPE_NARROW_GAUGE_RAILTYPE_NONE]],_xlfn.LAMBDA(_xlpm.r,OR(_xlpm.r))),FALSE)</f>
        <v>0</v>
      </c>
      <c r="AG942" s="43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3456</v>
      </c>
      <c r="B943" s="45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43" t="b" cm="1">
        <f t="array" ref="AE943">IFERROR(_xlfn.BYROW(TRACK_TYPES[[#This Row],[TRACK_TYPE_STANDARD_GAUGE_RAILTYPE_OHLE]:[TRACK_TYPE_STANDARD_GAUGE_RAILTYPE_NONE]],_xlfn.LAMBDA(_xlpm.r,OR(_xlpm.r))),FALSE)</f>
        <v>1</v>
      </c>
      <c r="AF943" s="43" t="b" cm="1">
        <f t="array" ref="AF943">IFERROR(_xlfn.BYROW(TRACK_TYPES[[#This Row],[TRACK_TYPE_NARROW_GAUGE_RAILTYPE_OHLE]:[TRACK_TYPE_NARROW_GAUGE_RAILTYPE_NONE]],_xlfn.LAMBDA(_xlpm.r,OR(_xlpm.r))),FALSE)</f>
        <v>0</v>
      </c>
      <c r="AG943" s="43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3457</v>
      </c>
      <c r="B944" s="45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43" t="b" cm="1">
        <f t="array" ref="AE944">IFERROR(_xlfn.BYROW(TRACK_TYPES[[#This Row],[TRACK_TYPE_STANDARD_GAUGE_RAILTYPE_OHLE]:[TRACK_TYPE_STANDARD_GAUGE_RAILTYPE_NONE]],_xlfn.LAMBDA(_xlpm.r,OR(_xlpm.r))),FALSE)</f>
        <v>1</v>
      </c>
      <c r="AF944" s="43" t="b" cm="1">
        <f t="array" ref="AF944">IFERROR(_xlfn.BYROW(TRACK_TYPES[[#This Row],[TRACK_TYPE_NARROW_GAUGE_RAILTYPE_OHLE]:[TRACK_TYPE_NARROW_GAUGE_RAILTYPE_NONE]],_xlfn.LAMBDA(_xlpm.r,OR(_xlpm.r))),FALSE)</f>
        <v>0</v>
      </c>
      <c r="AG944" s="43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3458</v>
      </c>
      <c r="B945" s="45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43" t="b" cm="1">
        <f t="array" ref="AE945">IFERROR(_xlfn.BYROW(TRACK_TYPES[[#This Row],[TRACK_TYPE_STANDARD_GAUGE_RAILTYPE_OHLE]:[TRACK_TYPE_STANDARD_GAUGE_RAILTYPE_NONE]],_xlfn.LAMBDA(_xlpm.r,OR(_xlpm.r))),FALSE)</f>
        <v>1</v>
      </c>
      <c r="AF945" s="43" t="b" cm="1">
        <f t="array" ref="AF945">IFERROR(_xlfn.BYROW(TRACK_TYPES[[#This Row],[TRACK_TYPE_NARROW_GAUGE_RAILTYPE_OHLE]:[TRACK_TYPE_NARROW_GAUGE_RAILTYPE_NONE]],_xlfn.LAMBDA(_xlpm.r,OR(_xlpm.r))),FALSE)</f>
        <v>0</v>
      </c>
      <c r="AG945" s="43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3459</v>
      </c>
      <c r="B946" s="45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43" t="b" cm="1">
        <f t="array" ref="AE946">IFERROR(_xlfn.BYROW(TRACK_TYPES[[#This Row],[TRACK_TYPE_STANDARD_GAUGE_RAILTYPE_OHLE]:[TRACK_TYPE_STANDARD_GAUGE_RAILTYPE_NONE]],_xlfn.LAMBDA(_xlpm.r,OR(_xlpm.r))),FALSE)</f>
        <v>1</v>
      </c>
      <c r="AF946" s="43" t="b" cm="1">
        <f t="array" ref="AF946">IFERROR(_xlfn.BYROW(TRACK_TYPES[[#This Row],[TRACK_TYPE_NARROW_GAUGE_RAILTYPE_OHLE]:[TRACK_TYPE_NARROW_GAUGE_RAILTYPE_NONE]],_xlfn.LAMBDA(_xlpm.r,OR(_xlpm.r))),FALSE)</f>
        <v>0</v>
      </c>
      <c r="AG946" s="43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3460</v>
      </c>
      <c r="B947" s="45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43" t="b" cm="1">
        <f t="array" ref="AE947">IFERROR(_xlfn.BYROW(TRACK_TYPES[[#This Row],[TRACK_TYPE_STANDARD_GAUGE_RAILTYPE_OHLE]:[TRACK_TYPE_STANDARD_GAUGE_RAILTYPE_NONE]],_xlfn.LAMBDA(_xlpm.r,OR(_xlpm.r))),FALSE)</f>
        <v>1</v>
      </c>
      <c r="AF947" s="43" t="b" cm="1">
        <f t="array" ref="AF947">IFERROR(_xlfn.BYROW(TRACK_TYPES[[#This Row],[TRACK_TYPE_NARROW_GAUGE_RAILTYPE_OHLE]:[TRACK_TYPE_NARROW_GAUGE_RAILTYPE_NONE]],_xlfn.LAMBDA(_xlpm.r,OR(_xlpm.r))),FALSE)</f>
        <v>0</v>
      </c>
      <c r="AG947" s="43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3461</v>
      </c>
      <c r="B948" s="45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43" t="b" cm="1">
        <f t="array" ref="AE948">IFERROR(_xlfn.BYROW(TRACK_TYPES[[#This Row],[TRACK_TYPE_STANDARD_GAUGE_RAILTYPE_OHLE]:[TRACK_TYPE_STANDARD_GAUGE_RAILTYPE_NONE]],_xlfn.LAMBDA(_xlpm.r,OR(_xlpm.r))),FALSE)</f>
        <v>1</v>
      </c>
      <c r="AF948" s="43" t="b" cm="1">
        <f t="array" ref="AF948">IFERROR(_xlfn.BYROW(TRACK_TYPES[[#This Row],[TRACK_TYPE_NARROW_GAUGE_RAILTYPE_OHLE]:[TRACK_TYPE_NARROW_GAUGE_RAILTYPE_NONE]],_xlfn.LAMBDA(_xlpm.r,OR(_xlpm.r))),FALSE)</f>
        <v>0</v>
      </c>
      <c r="AG948" s="43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3462</v>
      </c>
      <c r="B949" s="45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43" t="b" cm="1">
        <f t="array" ref="AE949">IFERROR(_xlfn.BYROW(TRACK_TYPES[[#This Row],[TRACK_TYPE_STANDARD_GAUGE_RAILTYPE_OHLE]:[TRACK_TYPE_STANDARD_GAUGE_RAILTYPE_NONE]],_xlfn.LAMBDA(_xlpm.r,OR(_xlpm.r))),FALSE)</f>
        <v>1</v>
      </c>
      <c r="AF949" s="43" t="b" cm="1">
        <f t="array" ref="AF949">IFERROR(_xlfn.BYROW(TRACK_TYPES[[#This Row],[TRACK_TYPE_NARROW_GAUGE_RAILTYPE_OHLE]:[TRACK_TYPE_NARROW_GAUGE_RAILTYPE_NONE]],_xlfn.LAMBDA(_xlpm.r,OR(_xlpm.r))),FALSE)</f>
        <v>0</v>
      </c>
      <c r="AG949" s="43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3463</v>
      </c>
      <c r="B950" s="45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43" t="b" cm="1">
        <f t="array" ref="AE950">IFERROR(_xlfn.BYROW(TRACK_TYPES[[#This Row],[TRACK_TYPE_STANDARD_GAUGE_RAILTYPE_OHLE]:[TRACK_TYPE_STANDARD_GAUGE_RAILTYPE_NONE]],_xlfn.LAMBDA(_xlpm.r,OR(_xlpm.r))),FALSE)</f>
        <v>1</v>
      </c>
      <c r="AF950" s="43" t="b" cm="1">
        <f t="array" ref="AF950">IFERROR(_xlfn.BYROW(TRACK_TYPES[[#This Row],[TRACK_TYPE_NARROW_GAUGE_RAILTYPE_OHLE]:[TRACK_TYPE_NARROW_GAUGE_RAILTYPE_NONE]],_xlfn.LAMBDA(_xlpm.r,OR(_xlpm.r))),FALSE)</f>
        <v>0</v>
      </c>
      <c r="AG950" s="43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3464</v>
      </c>
      <c r="B951" s="45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43" t="b" cm="1">
        <f t="array" ref="AE951">IFERROR(_xlfn.BYROW(TRACK_TYPES[[#This Row],[TRACK_TYPE_STANDARD_GAUGE_RAILTYPE_OHLE]:[TRACK_TYPE_STANDARD_GAUGE_RAILTYPE_NONE]],_xlfn.LAMBDA(_xlpm.r,OR(_xlpm.r))),FALSE)</f>
        <v>1</v>
      </c>
      <c r="AF951" s="43" t="b" cm="1">
        <f t="array" ref="AF951">IFERROR(_xlfn.BYROW(TRACK_TYPES[[#This Row],[TRACK_TYPE_NARROW_GAUGE_RAILTYPE_OHLE]:[TRACK_TYPE_NARROW_GAUGE_RAILTYPE_NONE]],_xlfn.LAMBDA(_xlpm.r,OR(_xlpm.r))),FALSE)</f>
        <v>1</v>
      </c>
      <c r="AG951" s="43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3465</v>
      </c>
      <c r="B952" s="45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43" t="b" cm="1">
        <f t="array" ref="AE952">IFERROR(_xlfn.BYROW(TRACK_TYPES[[#This Row],[TRACK_TYPE_STANDARD_GAUGE_RAILTYPE_OHLE]:[TRACK_TYPE_STANDARD_GAUGE_RAILTYPE_NONE]],_xlfn.LAMBDA(_xlpm.r,OR(_xlpm.r))),FALSE)</f>
        <v>1</v>
      </c>
      <c r="AF952" s="43" t="b" cm="1">
        <f t="array" ref="AF952">IFERROR(_xlfn.BYROW(TRACK_TYPES[[#This Row],[TRACK_TYPE_NARROW_GAUGE_RAILTYPE_OHLE]:[TRACK_TYPE_NARROW_GAUGE_RAILTYPE_NONE]],_xlfn.LAMBDA(_xlpm.r,OR(_xlpm.r))),FALSE)</f>
        <v>0</v>
      </c>
      <c r="AG952" s="43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3466</v>
      </c>
      <c r="B953" s="45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43" t="b" cm="1">
        <f t="array" ref="AE953">IFERROR(_xlfn.BYROW(TRACK_TYPES[[#This Row],[TRACK_TYPE_STANDARD_GAUGE_RAILTYPE_OHLE]:[TRACK_TYPE_STANDARD_GAUGE_RAILTYPE_NONE]],_xlfn.LAMBDA(_xlpm.r,OR(_xlpm.r))),FALSE)</f>
        <v>1</v>
      </c>
      <c r="AF953" s="43" t="b" cm="1">
        <f t="array" ref="AF953">IFERROR(_xlfn.BYROW(TRACK_TYPES[[#This Row],[TRACK_TYPE_NARROW_GAUGE_RAILTYPE_OHLE]:[TRACK_TYPE_NARROW_GAUGE_RAILTYPE_NONE]],_xlfn.LAMBDA(_xlpm.r,OR(_xlpm.r))),FALSE)</f>
        <v>1</v>
      </c>
      <c r="AG953" s="43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3467</v>
      </c>
      <c r="B954" s="45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43" t="b" cm="1">
        <f t="array" ref="AE954">IFERROR(_xlfn.BYROW(TRACK_TYPES[[#This Row],[TRACK_TYPE_STANDARD_GAUGE_RAILTYPE_OHLE]:[TRACK_TYPE_STANDARD_GAUGE_RAILTYPE_NONE]],_xlfn.LAMBDA(_xlpm.r,OR(_xlpm.r))),FALSE)</f>
        <v>1</v>
      </c>
      <c r="AF954" s="43" t="b" cm="1">
        <f t="array" ref="AF954">IFERROR(_xlfn.BYROW(TRACK_TYPES[[#This Row],[TRACK_TYPE_NARROW_GAUGE_RAILTYPE_OHLE]:[TRACK_TYPE_NARROW_GAUGE_RAILTYPE_NONE]],_xlfn.LAMBDA(_xlpm.r,OR(_xlpm.r))),FALSE)</f>
        <v>0</v>
      </c>
      <c r="AG954" s="43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3468</v>
      </c>
      <c r="B955" s="45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43" t="b" cm="1">
        <f t="array" ref="AE955">IFERROR(_xlfn.BYROW(TRACK_TYPES[[#This Row],[TRACK_TYPE_STANDARD_GAUGE_RAILTYPE_OHLE]:[TRACK_TYPE_STANDARD_GAUGE_RAILTYPE_NONE]],_xlfn.LAMBDA(_xlpm.r,OR(_xlpm.r))),FALSE)</f>
        <v>1</v>
      </c>
      <c r="AF955" s="43" t="b" cm="1">
        <f t="array" ref="AF955">IFERROR(_xlfn.BYROW(TRACK_TYPES[[#This Row],[TRACK_TYPE_NARROW_GAUGE_RAILTYPE_OHLE]:[TRACK_TYPE_NARROW_GAUGE_RAILTYPE_NONE]],_xlfn.LAMBDA(_xlpm.r,OR(_xlpm.r))),FALSE)</f>
        <v>0</v>
      </c>
      <c r="AG955" s="43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3469</v>
      </c>
      <c r="B956" s="45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43" t="b" cm="1">
        <f t="array" ref="AE956">IFERROR(_xlfn.BYROW(TRACK_TYPES[[#This Row],[TRACK_TYPE_STANDARD_GAUGE_RAILTYPE_OHLE]:[TRACK_TYPE_STANDARD_GAUGE_RAILTYPE_NONE]],_xlfn.LAMBDA(_xlpm.r,OR(_xlpm.r))),FALSE)</f>
        <v>1</v>
      </c>
      <c r="AF956" s="43" t="b" cm="1">
        <f t="array" ref="AF956">IFERROR(_xlfn.BYROW(TRACK_TYPES[[#This Row],[TRACK_TYPE_NARROW_GAUGE_RAILTYPE_OHLE]:[TRACK_TYPE_NARROW_GAUGE_RAILTYPE_NONE]],_xlfn.LAMBDA(_xlpm.r,OR(_xlpm.r))),FALSE)</f>
        <v>0</v>
      </c>
      <c r="AG956" s="43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3560</v>
      </c>
      <c r="B957" s="45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43" t="b" cm="1">
        <f t="array" ref="AE957">IFERROR(_xlfn.BYROW(TRACK_TYPES[[#This Row],[TRACK_TYPE_STANDARD_GAUGE_RAILTYPE_OHLE]:[TRACK_TYPE_STANDARD_GAUGE_RAILTYPE_NONE]],_xlfn.LAMBDA(_xlpm.r,OR(_xlpm.r))),FALSE)</f>
        <v>1</v>
      </c>
      <c r="AF957" s="43" t="b" cm="1">
        <f t="array" ref="AF957">IFERROR(_xlfn.BYROW(TRACK_TYPES[[#This Row],[TRACK_TYPE_NARROW_GAUGE_RAILTYPE_OHLE]:[TRACK_TYPE_NARROW_GAUGE_RAILTYPE_NONE]],_xlfn.LAMBDA(_xlpm.r,OR(_xlpm.r))),FALSE)</f>
        <v>0</v>
      </c>
      <c r="AG957" s="43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3470</v>
      </c>
      <c r="B958" s="45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43" t="b" cm="1">
        <f t="array" ref="AE958">IFERROR(_xlfn.BYROW(TRACK_TYPES[[#This Row],[TRACK_TYPE_STANDARD_GAUGE_RAILTYPE_OHLE]:[TRACK_TYPE_STANDARD_GAUGE_RAILTYPE_NONE]],_xlfn.LAMBDA(_xlpm.r,OR(_xlpm.r))),FALSE)</f>
        <v>1</v>
      </c>
      <c r="AF958" s="43" t="b" cm="1">
        <f t="array" ref="AF958">IFERROR(_xlfn.BYROW(TRACK_TYPES[[#This Row],[TRACK_TYPE_NARROW_GAUGE_RAILTYPE_OHLE]:[TRACK_TYPE_NARROW_GAUGE_RAILTYPE_NONE]],_xlfn.LAMBDA(_xlpm.r,OR(_xlpm.r))),FALSE)</f>
        <v>0</v>
      </c>
      <c r="AG958" s="43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3471</v>
      </c>
      <c r="B959" s="45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43" t="b" cm="1">
        <f t="array" ref="AE959">IFERROR(_xlfn.BYROW(TRACK_TYPES[[#This Row],[TRACK_TYPE_STANDARD_GAUGE_RAILTYPE_OHLE]:[TRACK_TYPE_STANDARD_GAUGE_RAILTYPE_NONE]],_xlfn.LAMBDA(_xlpm.r,OR(_xlpm.r))),FALSE)</f>
        <v>1</v>
      </c>
      <c r="AF959" s="43" t="b" cm="1">
        <f t="array" ref="AF959">IFERROR(_xlfn.BYROW(TRACK_TYPES[[#This Row],[TRACK_TYPE_NARROW_GAUGE_RAILTYPE_OHLE]:[TRACK_TYPE_NARROW_GAUGE_RAILTYPE_NONE]],_xlfn.LAMBDA(_xlpm.r,OR(_xlpm.r))),FALSE)</f>
        <v>0</v>
      </c>
      <c r="AG959" s="43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3472</v>
      </c>
      <c r="B960" s="45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43" t="b" cm="1">
        <f t="array" ref="AE960">IFERROR(_xlfn.BYROW(TRACK_TYPES[[#This Row],[TRACK_TYPE_STANDARD_GAUGE_RAILTYPE_OHLE]:[TRACK_TYPE_STANDARD_GAUGE_RAILTYPE_NONE]],_xlfn.LAMBDA(_xlpm.r,OR(_xlpm.r))),FALSE)</f>
        <v>1</v>
      </c>
      <c r="AF960" s="43" t="b" cm="1">
        <f t="array" ref="AF960">IFERROR(_xlfn.BYROW(TRACK_TYPES[[#This Row],[TRACK_TYPE_NARROW_GAUGE_RAILTYPE_OHLE]:[TRACK_TYPE_NARROW_GAUGE_RAILTYPE_NONE]],_xlfn.LAMBDA(_xlpm.r,OR(_xlpm.r))),FALSE)</f>
        <v>0</v>
      </c>
      <c r="AG960" s="43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3473</v>
      </c>
      <c r="B961" s="45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43" t="b" cm="1">
        <f t="array" ref="AE961">IFERROR(_xlfn.BYROW(TRACK_TYPES[[#This Row],[TRACK_TYPE_STANDARD_GAUGE_RAILTYPE_OHLE]:[TRACK_TYPE_STANDARD_GAUGE_RAILTYPE_NONE]],_xlfn.LAMBDA(_xlpm.r,OR(_xlpm.r))),FALSE)</f>
        <v>0</v>
      </c>
      <c r="AF961" s="43" t="b" cm="1">
        <f t="array" ref="AF961">IFERROR(_xlfn.BYROW(TRACK_TYPES[[#This Row],[TRACK_TYPE_NARROW_GAUGE_RAILTYPE_OHLE]:[TRACK_TYPE_NARROW_GAUGE_RAILTYPE_NONE]],_xlfn.LAMBDA(_xlpm.r,OR(_xlpm.r))),FALSE)</f>
        <v>0</v>
      </c>
      <c r="AG961" s="43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3474</v>
      </c>
      <c r="B962" s="45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43" t="b" cm="1">
        <f t="array" ref="AE962">IFERROR(_xlfn.BYROW(TRACK_TYPES[[#This Row],[TRACK_TYPE_STANDARD_GAUGE_RAILTYPE_OHLE]:[TRACK_TYPE_STANDARD_GAUGE_RAILTYPE_NONE]],_xlfn.LAMBDA(_xlpm.r,OR(_xlpm.r))),FALSE)</f>
        <v>0</v>
      </c>
      <c r="AF962" s="43" t="b" cm="1">
        <f t="array" ref="AF962">IFERROR(_xlfn.BYROW(TRACK_TYPES[[#This Row],[TRACK_TYPE_NARROW_GAUGE_RAILTYPE_OHLE]:[TRACK_TYPE_NARROW_GAUGE_RAILTYPE_NONE]],_xlfn.LAMBDA(_xlpm.r,OR(_xlpm.r))),FALSE)</f>
        <v>0</v>
      </c>
      <c r="AG962" s="43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1980</v>
      </c>
      <c r="B963" s="45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43" t="b" cm="1">
        <f t="array" ref="AE963">IFERROR(_xlfn.BYROW(TRACK_TYPES[[#This Row],[TRACK_TYPE_STANDARD_GAUGE_RAILTYPE_OHLE]:[TRACK_TYPE_STANDARD_GAUGE_RAILTYPE_NONE]],_xlfn.LAMBDA(_xlpm.r,OR(_xlpm.r))),FALSE)</f>
        <v>0</v>
      </c>
      <c r="AF963" s="43" t="b" cm="1">
        <f t="array" ref="AF963">IFERROR(_xlfn.BYROW(TRACK_TYPES[[#This Row],[TRACK_TYPE_NARROW_GAUGE_RAILTYPE_OHLE]:[TRACK_TYPE_NARROW_GAUGE_RAILTYPE_NONE]],_xlfn.LAMBDA(_xlpm.r,OR(_xlpm.r))),FALSE)</f>
        <v>0</v>
      </c>
      <c r="AG963" s="43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1981</v>
      </c>
      <c r="B964" s="45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43" t="b" cm="1">
        <f t="array" ref="AE964">IFERROR(_xlfn.BYROW(TRACK_TYPES[[#This Row],[TRACK_TYPE_STANDARD_GAUGE_RAILTYPE_OHLE]:[TRACK_TYPE_STANDARD_GAUGE_RAILTYPE_NONE]],_xlfn.LAMBDA(_xlpm.r,OR(_xlpm.r))),FALSE)</f>
        <v>0</v>
      </c>
      <c r="AF964" s="43" t="b" cm="1">
        <f t="array" ref="AF964">IFERROR(_xlfn.BYROW(TRACK_TYPES[[#This Row],[TRACK_TYPE_NARROW_GAUGE_RAILTYPE_OHLE]:[TRACK_TYPE_NARROW_GAUGE_RAILTYPE_NONE]],_xlfn.LAMBDA(_xlpm.r,OR(_xlpm.r))),FALSE)</f>
        <v>0</v>
      </c>
      <c r="AG964" s="43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3475</v>
      </c>
      <c r="B965" s="45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43" t="b" cm="1">
        <f t="array" ref="AE965">IFERROR(_xlfn.BYROW(TRACK_TYPES[[#This Row],[TRACK_TYPE_STANDARD_GAUGE_RAILTYPE_OHLE]:[TRACK_TYPE_STANDARD_GAUGE_RAILTYPE_NONE]],_xlfn.LAMBDA(_xlpm.r,OR(_xlpm.r))),FALSE)</f>
        <v>1</v>
      </c>
      <c r="AF965" s="43" t="b" cm="1">
        <f t="array" ref="AF965">IFERROR(_xlfn.BYROW(TRACK_TYPES[[#This Row],[TRACK_TYPE_NARROW_GAUGE_RAILTYPE_OHLE]:[TRACK_TYPE_NARROW_GAUGE_RAILTYPE_NONE]],_xlfn.LAMBDA(_xlpm.r,OR(_xlpm.r))),FALSE)</f>
        <v>0</v>
      </c>
      <c r="AG965" s="43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3476</v>
      </c>
      <c r="B966" s="45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43" t="b" cm="1">
        <f t="array" ref="AE966">IFERROR(_xlfn.BYROW(TRACK_TYPES[[#This Row],[TRACK_TYPE_STANDARD_GAUGE_RAILTYPE_OHLE]:[TRACK_TYPE_STANDARD_GAUGE_RAILTYPE_NONE]],_xlfn.LAMBDA(_xlpm.r,OR(_xlpm.r))),FALSE)</f>
        <v>1</v>
      </c>
      <c r="AF966" s="43" t="b" cm="1">
        <f t="array" ref="AF966">IFERROR(_xlfn.BYROW(TRACK_TYPES[[#This Row],[TRACK_TYPE_NARROW_GAUGE_RAILTYPE_OHLE]:[TRACK_TYPE_NARROW_GAUGE_RAILTYPE_NONE]],_xlfn.LAMBDA(_xlpm.r,OR(_xlpm.r))),FALSE)</f>
        <v>0</v>
      </c>
      <c r="AG966" s="43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3477</v>
      </c>
      <c r="B967" s="45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43" t="b" cm="1">
        <f t="array" ref="AE967">IFERROR(_xlfn.BYROW(TRACK_TYPES[[#This Row],[TRACK_TYPE_STANDARD_GAUGE_RAILTYPE_OHLE]:[TRACK_TYPE_STANDARD_GAUGE_RAILTYPE_NONE]],_xlfn.LAMBDA(_xlpm.r,OR(_xlpm.r))),FALSE)</f>
        <v>1</v>
      </c>
      <c r="AF967" s="43" t="b" cm="1">
        <f t="array" ref="AF967">IFERROR(_xlfn.BYROW(TRACK_TYPES[[#This Row],[TRACK_TYPE_NARROW_GAUGE_RAILTYPE_OHLE]:[TRACK_TYPE_NARROW_GAUGE_RAILTYPE_NONE]],_xlfn.LAMBDA(_xlpm.r,OR(_xlpm.r))),FALSE)</f>
        <v>0</v>
      </c>
      <c r="AG967" s="43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3478</v>
      </c>
      <c r="B968" s="45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43" t="b" cm="1">
        <f t="array" ref="AE968">IFERROR(_xlfn.BYROW(TRACK_TYPES[[#This Row],[TRACK_TYPE_STANDARD_GAUGE_RAILTYPE_OHLE]:[TRACK_TYPE_STANDARD_GAUGE_RAILTYPE_NONE]],_xlfn.LAMBDA(_xlpm.r,OR(_xlpm.r))),FALSE)</f>
        <v>1</v>
      </c>
      <c r="AF968" s="43" t="b" cm="1">
        <f t="array" ref="AF968">IFERROR(_xlfn.BYROW(TRACK_TYPES[[#This Row],[TRACK_TYPE_NARROW_GAUGE_RAILTYPE_OHLE]:[TRACK_TYPE_NARROW_GAUGE_RAILTYPE_NONE]],_xlfn.LAMBDA(_xlpm.r,OR(_xlpm.r))),FALSE)</f>
        <v>0</v>
      </c>
      <c r="AG968" s="43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3479</v>
      </c>
      <c r="B969" s="45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43" t="b" cm="1">
        <f t="array" ref="AE969">IFERROR(_xlfn.BYROW(TRACK_TYPES[[#This Row],[TRACK_TYPE_STANDARD_GAUGE_RAILTYPE_OHLE]:[TRACK_TYPE_STANDARD_GAUGE_RAILTYPE_NONE]],_xlfn.LAMBDA(_xlpm.r,OR(_xlpm.r))),FALSE)</f>
        <v>1</v>
      </c>
      <c r="AF969" s="43" t="b" cm="1">
        <f t="array" ref="AF969">IFERROR(_xlfn.BYROW(TRACK_TYPES[[#This Row],[TRACK_TYPE_NARROW_GAUGE_RAILTYPE_OHLE]:[TRACK_TYPE_NARROW_GAUGE_RAILTYPE_NONE]],_xlfn.LAMBDA(_xlpm.r,OR(_xlpm.r))),FALSE)</f>
        <v>0</v>
      </c>
      <c r="AG969" s="43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3480</v>
      </c>
      <c r="B970" s="45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43" t="b" cm="1">
        <f t="array" ref="AE970">IFERROR(_xlfn.BYROW(TRACK_TYPES[[#This Row],[TRACK_TYPE_STANDARD_GAUGE_RAILTYPE_OHLE]:[TRACK_TYPE_STANDARD_GAUGE_RAILTYPE_NONE]],_xlfn.LAMBDA(_xlpm.r,OR(_xlpm.r))),FALSE)</f>
        <v>1</v>
      </c>
      <c r="AF970" s="43" t="b" cm="1">
        <f t="array" ref="AF970">IFERROR(_xlfn.BYROW(TRACK_TYPES[[#This Row],[TRACK_TYPE_NARROW_GAUGE_RAILTYPE_OHLE]:[TRACK_TYPE_NARROW_GAUGE_RAILTYPE_NONE]],_xlfn.LAMBDA(_xlpm.r,OR(_xlpm.r))),FALSE)</f>
        <v>0</v>
      </c>
      <c r="AG970" s="43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3481</v>
      </c>
      <c r="B971" s="45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43" t="b" cm="1">
        <f t="array" ref="AE971">IFERROR(_xlfn.BYROW(TRACK_TYPES[[#This Row],[TRACK_TYPE_STANDARD_GAUGE_RAILTYPE_OHLE]:[TRACK_TYPE_STANDARD_GAUGE_RAILTYPE_NONE]],_xlfn.LAMBDA(_xlpm.r,OR(_xlpm.r))),FALSE)</f>
        <v>0</v>
      </c>
      <c r="AF971" s="43" t="b" cm="1">
        <f t="array" ref="AF971">IFERROR(_xlfn.BYROW(TRACK_TYPES[[#This Row],[TRACK_TYPE_NARROW_GAUGE_RAILTYPE_OHLE]:[TRACK_TYPE_NARROW_GAUGE_RAILTYPE_NONE]],_xlfn.LAMBDA(_xlpm.r,OR(_xlpm.r))),FALSE)</f>
        <v>0</v>
      </c>
      <c r="AG971" s="43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3482</v>
      </c>
      <c r="B972" s="45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43" t="b" cm="1">
        <f t="array" ref="AE972">IFERROR(_xlfn.BYROW(TRACK_TYPES[[#This Row],[TRACK_TYPE_STANDARD_GAUGE_RAILTYPE_OHLE]:[TRACK_TYPE_STANDARD_GAUGE_RAILTYPE_NONE]],_xlfn.LAMBDA(_xlpm.r,OR(_xlpm.r))),FALSE)</f>
        <v>0</v>
      </c>
      <c r="AF972" s="43" t="b" cm="1">
        <f t="array" ref="AF972">IFERROR(_xlfn.BYROW(TRACK_TYPES[[#This Row],[TRACK_TYPE_NARROW_GAUGE_RAILTYPE_OHLE]:[TRACK_TYPE_NARROW_GAUGE_RAILTYPE_NONE]],_xlfn.LAMBDA(_xlpm.r,OR(_xlpm.r))),FALSE)</f>
        <v>0</v>
      </c>
      <c r="AG972" s="43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3483</v>
      </c>
      <c r="B973" s="45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43" t="b" cm="1">
        <f t="array" ref="AE973">IFERROR(_xlfn.BYROW(TRACK_TYPES[[#This Row],[TRACK_TYPE_STANDARD_GAUGE_RAILTYPE_OHLE]:[TRACK_TYPE_STANDARD_GAUGE_RAILTYPE_NONE]],_xlfn.LAMBDA(_xlpm.r,OR(_xlpm.r))),FALSE)</f>
        <v>0</v>
      </c>
      <c r="AF973" s="43" t="b" cm="1">
        <f t="array" ref="AF973">IFERROR(_xlfn.BYROW(TRACK_TYPES[[#This Row],[TRACK_TYPE_NARROW_GAUGE_RAILTYPE_OHLE]:[TRACK_TYPE_NARROW_GAUGE_RAILTYPE_NONE]],_xlfn.LAMBDA(_xlpm.r,OR(_xlpm.r))),FALSE)</f>
        <v>0</v>
      </c>
      <c r="AG973" s="43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3484</v>
      </c>
      <c r="B974" s="45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43" t="b" cm="1">
        <f t="array" ref="AE974">IFERROR(_xlfn.BYROW(TRACK_TYPES[[#This Row],[TRACK_TYPE_STANDARD_GAUGE_RAILTYPE_OHLE]:[TRACK_TYPE_STANDARD_GAUGE_RAILTYPE_NONE]],_xlfn.LAMBDA(_xlpm.r,OR(_xlpm.r))),FALSE)</f>
        <v>0</v>
      </c>
      <c r="AF974" s="43" t="b" cm="1">
        <f t="array" ref="AF974">IFERROR(_xlfn.BYROW(TRACK_TYPES[[#This Row],[TRACK_TYPE_NARROW_GAUGE_RAILTYPE_OHLE]:[TRACK_TYPE_NARROW_GAUGE_RAILTYPE_NONE]],_xlfn.LAMBDA(_xlpm.r,OR(_xlpm.r))),FALSE)</f>
        <v>0</v>
      </c>
      <c r="AG974" s="43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3485</v>
      </c>
      <c r="B975" s="45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43" t="b" cm="1">
        <f t="array" ref="AE975">IFERROR(_xlfn.BYROW(TRACK_TYPES[[#This Row],[TRACK_TYPE_STANDARD_GAUGE_RAILTYPE_OHLE]:[TRACK_TYPE_STANDARD_GAUGE_RAILTYPE_NONE]],_xlfn.LAMBDA(_xlpm.r,OR(_xlpm.r))),FALSE)</f>
        <v>1</v>
      </c>
      <c r="AF975" s="43" t="b" cm="1">
        <f t="array" ref="AF975">IFERROR(_xlfn.BYROW(TRACK_TYPES[[#This Row],[TRACK_TYPE_NARROW_GAUGE_RAILTYPE_OHLE]:[TRACK_TYPE_NARROW_GAUGE_RAILTYPE_NONE]],_xlfn.LAMBDA(_xlpm.r,OR(_xlpm.r))),FALSE)</f>
        <v>0</v>
      </c>
      <c r="AG975" s="43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3486</v>
      </c>
      <c r="B976" s="45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43" t="b" cm="1">
        <f t="array" ref="AE976">IFERROR(_xlfn.BYROW(TRACK_TYPES[[#This Row],[TRACK_TYPE_STANDARD_GAUGE_RAILTYPE_OHLE]:[TRACK_TYPE_STANDARD_GAUGE_RAILTYPE_NONE]],_xlfn.LAMBDA(_xlpm.r,OR(_xlpm.r))),FALSE)</f>
        <v>1</v>
      </c>
      <c r="AF976" s="43" t="b" cm="1">
        <f t="array" ref="AF976">IFERROR(_xlfn.BYROW(TRACK_TYPES[[#This Row],[TRACK_TYPE_NARROW_GAUGE_RAILTYPE_OHLE]:[TRACK_TYPE_NARROW_GAUGE_RAILTYPE_NONE]],_xlfn.LAMBDA(_xlpm.r,OR(_xlpm.r))),FALSE)</f>
        <v>0</v>
      </c>
      <c r="AG976" s="43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3487</v>
      </c>
      <c r="B977" s="45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43" t="b" cm="1">
        <f t="array" ref="AE977">IFERROR(_xlfn.BYROW(TRACK_TYPES[[#This Row],[TRACK_TYPE_STANDARD_GAUGE_RAILTYPE_OHLE]:[TRACK_TYPE_STANDARD_GAUGE_RAILTYPE_NONE]],_xlfn.LAMBDA(_xlpm.r,OR(_xlpm.r))),FALSE)</f>
        <v>1</v>
      </c>
      <c r="AF977" s="43" t="b" cm="1">
        <f t="array" ref="AF977">IFERROR(_xlfn.BYROW(TRACK_TYPES[[#This Row],[TRACK_TYPE_NARROW_GAUGE_RAILTYPE_OHLE]:[TRACK_TYPE_NARROW_GAUGE_RAILTYPE_NONE]],_xlfn.LAMBDA(_xlpm.r,OR(_xlpm.r))),FALSE)</f>
        <v>0</v>
      </c>
      <c r="AG977" s="43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3488</v>
      </c>
      <c r="B978" s="45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43" t="b" cm="1">
        <f t="array" ref="AE978">IFERROR(_xlfn.BYROW(TRACK_TYPES[[#This Row],[TRACK_TYPE_STANDARD_GAUGE_RAILTYPE_OHLE]:[TRACK_TYPE_STANDARD_GAUGE_RAILTYPE_NONE]],_xlfn.LAMBDA(_xlpm.r,OR(_xlpm.r))),FALSE)</f>
        <v>1</v>
      </c>
      <c r="AF978" s="43" t="b" cm="1">
        <f t="array" ref="AF978">IFERROR(_xlfn.BYROW(TRACK_TYPES[[#This Row],[TRACK_TYPE_NARROW_GAUGE_RAILTYPE_OHLE]:[TRACK_TYPE_NARROW_GAUGE_RAILTYPE_NONE]],_xlfn.LAMBDA(_xlpm.r,OR(_xlpm.r))),FALSE)</f>
        <v>0</v>
      </c>
      <c r="AG978" s="43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3489</v>
      </c>
      <c r="B979" s="45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43" t="b" cm="1">
        <f t="array" ref="AE979">IFERROR(_xlfn.BYROW(TRACK_TYPES[[#This Row],[TRACK_TYPE_STANDARD_GAUGE_RAILTYPE_OHLE]:[TRACK_TYPE_STANDARD_GAUGE_RAILTYPE_NONE]],_xlfn.LAMBDA(_xlpm.r,OR(_xlpm.r))),FALSE)</f>
        <v>1</v>
      </c>
      <c r="AF979" s="43" t="b" cm="1">
        <f t="array" ref="AF979">IFERROR(_xlfn.BYROW(TRACK_TYPES[[#This Row],[TRACK_TYPE_NARROW_GAUGE_RAILTYPE_OHLE]:[TRACK_TYPE_NARROW_GAUGE_RAILTYPE_NONE]],_xlfn.LAMBDA(_xlpm.r,OR(_xlpm.r))),FALSE)</f>
        <v>0</v>
      </c>
      <c r="AG979" s="43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3490</v>
      </c>
      <c r="B980" s="45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43" t="b" cm="1">
        <f t="array" ref="AE980">IFERROR(_xlfn.BYROW(TRACK_TYPES[[#This Row],[TRACK_TYPE_STANDARD_GAUGE_RAILTYPE_OHLE]:[TRACK_TYPE_STANDARD_GAUGE_RAILTYPE_NONE]],_xlfn.LAMBDA(_xlpm.r,OR(_xlpm.r))),FALSE)</f>
        <v>1</v>
      </c>
      <c r="AF980" s="43" t="b" cm="1">
        <f t="array" ref="AF980">IFERROR(_xlfn.BYROW(TRACK_TYPES[[#This Row],[TRACK_TYPE_NARROW_GAUGE_RAILTYPE_OHLE]:[TRACK_TYPE_NARROW_GAUGE_RAILTYPE_NONE]],_xlfn.LAMBDA(_xlpm.r,OR(_xlpm.r))),FALSE)</f>
        <v>0</v>
      </c>
      <c r="AG980" s="43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3491</v>
      </c>
      <c r="B981" s="45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43" t="b" cm="1">
        <f t="array" ref="AE981">IFERROR(_xlfn.BYROW(TRACK_TYPES[[#This Row],[TRACK_TYPE_STANDARD_GAUGE_RAILTYPE_OHLE]:[TRACK_TYPE_STANDARD_GAUGE_RAILTYPE_NONE]],_xlfn.LAMBDA(_xlpm.r,OR(_xlpm.r))),FALSE)</f>
        <v>1</v>
      </c>
      <c r="AF981" s="43" t="b" cm="1">
        <f t="array" ref="AF981">IFERROR(_xlfn.BYROW(TRACK_TYPES[[#This Row],[TRACK_TYPE_NARROW_GAUGE_RAILTYPE_OHLE]:[TRACK_TYPE_NARROW_GAUGE_RAILTYPE_NONE]],_xlfn.LAMBDA(_xlpm.r,OR(_xlpm.r))),FALSE)</f>
        <v>0</v>
      </c>
      <c r="AG981" s="43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3492</v>
      </c>
      <c r="B982" s="45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43" t="b" cm="1">
        <f t="array" ref="AE982">IFERROR(_xlfn.BYROW(TRACK_TYPES[[#This Row],[TRACK_TYPE_STANDARD_GAUGE_RAILTYPE_OHLE]:[TRACK_TYPE_STANDARD_GAUGE_RAILTYPE_NONE]],_xlfn.LAMBDA(_xlpm.r,OR(_xlpm.r))),FALSE)</f>
        <v>1</v>
      </c>
      <c r="AF982" s="43" t="b" cm="1">
        <f t="array" ref="AF982">IFERROR(_xlfn.BYROW(TRACK_TYPES[[#This Row],[TRACK_TYPE_NARROW_GAUGE_RAILTYPE_OHLE]:[TRACK_TYPE_NARROW_GAUGE_RAILTYPE_NONE]],_xlfn.LAMBDA(_xlpm.r,OR(_xlpm.r))),FALSE)</f>
        <v>0</v>
      </c>
      <c r="AG982" s="43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3493</v>
      </c>
      <c r="B983" s="45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43" t="b" cm="1">
        <f t="array" ref="AE983">IFERROR(_xlfn.BYROW(TRACK_TYPES[[#This Row],[TRACK_TYPE_STANDARD_GAUGE_RAILTYPE_OHLE]:[TRACK_TYPE_STANDARD_GAUGE_RAILTYPE_NONE]],_xlfn.LAMBDA(_xlpm.r,OR(_xlpm.r))),FALSE)</f>
        <v>0</v>
      </c>
      <c r="AF983" s="43" t="b" cm="1">
        <f t="array" ref="AF983">IFERROR(_xlfn.BYROW(TRACK_TYPES[[#This Row],[TRACK_TYPE_NARROW_GAUGE_RAILTYPE_OHLE]:[TRACK_TYPE_NARROW_GAUGE_RAILTYPE_NONE]],_xlfn.LAMBDA(_xlpm.r,OR(_xlpm.r))),FALSE)</f>
        <v>0</v>
      </c>
      <c r="AG983" s="43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3494</v>
      </c>
      <c r="B984" s="45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43" t="b" cm="1">
        <f t="array" ref="AE984">IFERROR(_xlfn.BYROW(TRACK_TYPES[[#This Row],[TRACK_TYPE_STANDARD_GAUGE_RAILTYPE_OHLE]:[TRACK_TYPE_STANDARD_GAUGE_RAILTYPE_NONE]],_xlfn.LAMBDA(_xlpm.r,OR(_xlpm.r))),FALSE)</f>
        <v>1</v>
      </c>
      <c r="AF984" s="43" t="b" cm="1">
        <f t="array" ref="AF984">IFERROR(_xlfn.BYROW(TRACK_TYPES[[#This Row],[TRACK_TYPE_NARROW_GAUGE_RAILTYPE_OHLE]:[TRACK_TYPE_NARROW_GAUGE_RAILTYPE_NONE]],_xlfn.LAMBDA(_xlpm.r,OR(_xlpm.r))),FALSE)</f>
        <v>0</v>
      </c>
      <c r="AG984" s="43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3495</v>
      </c>
      <c r="B985" s="45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43" t="b" cm="1">
        <f t="array" ref="AE985">IFERROR(_xlfn.BYROW(TRACK_TYPES[[#This Row],[TRACK_TYPE_STANDARD_GAUGE_RAILTYPE_OHLE]:[TRACK_TYPE_STANDARD_GAUGE_RAILTYPE_NONE]],_xlfn.LAMBDA(_xlpm.r,OR(_xlpm.r))),FALSE)</f>
        <v>1</v>
      </c>
      <c r="AF985" s="43" t="b" cm="1">
        <f t="array" ref="AF985">IFERROR(_xlfn.BYROW(TRACK_TYPES[[#This Row],[TRACK_TYPE_NARROW_GAUGE_RAILTYPE_OHLE]:[TRACK_TYPE_NARROW_GAUGE_RAILTYPE_NONE]],_xlfn.LAMBDA(_xlpm.r,OR(_xlpm.r))),FALSE)</f>
        <v>0</v>
      </c>
      <c r="AG985" s="43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3496</v>
      </c>
      <c r="B986" s="45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43" t="b" cm="1">
        <f t="array" ref="AE986">IFERROR(_xlfn.BYROW(TRACK_TYPES[[#This Row],[TRACK_TYPE_STANDARD_GAUGE_RAILTYPE_OHLE]:[TRACK_TYPE_STANDARD_GAUGE_RAILTYPE_NONE]],_xlfn.LAMBDA(_xlpm.r,OR(_xlpm.r))),FALSE)</f>
        <v>1</v>
      </c>
      <c r="AF986" s="43" t="b" cm="1">
        <f t="array" ref="AF986">IFERROR(_xlfn.BYROW(TRACK_TYPES[[#This Row],[TRACK_TYPE_NARROW_GAUGE_RAILTYPE_OHLE]:[TRACK_TYPE_NARROW_GAUGE_RAILTYPE_NONE]],_xlfn.LAMBDA(_xlpm.r,OR(_xlpm.r))),FALSE)</f>
        <v>0</v>
      </c>
      <c r="AG986" s="43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3497</v>
      </c>
      <c r="B987" s="45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43" t="b" cm="1">
        <f t="array" ref="AE987">IFERROR(_xlfn.BYROW(TRACK_TYPES[[#This Row],[TRACK_TYPE_STANDARD_GAUGE_RAILTYPE_OHLE]:[TRACK_TYPE_STANDARD_GAUGE_RAILTYPE_NONE]],_xlfn.LAMBDA(_xlpm.r,OR(_xlpm.r))),FALSE)</f>
        <v>0</v>
      </c>
      <c r="AF987" s="43" t="b" cm="1">
        <f t="array" ref="AF987">IFERROR(_xlfn.BYROW(TRACK_TYPES[[#This Row],[TRACK_TYPE_NARROW_GAUGE_RAILTYPE_OHLE]:[TRACK_TYPE_NARROW_GAUGE_RAILTYPE_NONE]],_xlfn.LAMBDA(_xlpm.r,OR(_xlpm.r))),FALSE)</f>
        <v>0</v>
      </c>
      <c r="AG987" s="43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3498</v>
      </c>
      <c r="B988" s="45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43" t="b" cm="1">
        <f t="array" ref="AE988">IFERROR(_xlfn.BYROW(TRACK_TYPES[[#This Row],[TRACK_TYPE_STANDARD_GAUGE_RAILTYPE_OHLE]:[TRACK_TYPE_STANDARD_GAUGE_RAILTYPE_NONE]],_xlfn.LAMBDA(_xlpm.r,OR(_xlpm.r))),FALSE)</f>
        <v>1</v>
      </c>
      <c r="AF988" s="43" t="b" cm="1">
        <f t="array" ref="AF988">IFERROR(_xlfn.BYROW(TRACK_TYPES[[#This Row],[TRACK_TYPE_NARROW_GAUGE_RAILTYPE_OHLE]:[TRACK_TYPE_NARROW_GAUGE_RAILTYPE_NONE]],_xlfn.LAMBDA(_xlpm.r,OR(_xlpm.r))),FALSE)</f>
        <v>0</v>
      </c>
      <c r="AG988" s="43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3499</v>
      </c>
      <c r="B989" s="45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43" t="b" cm="1">
        <f t="array" ref="AE989">IFERROR(_xlfn.BYROW(TRACK_TYPES[[#This Row],[TRACK_TYPE_STANDARD_GAUGE_RAILTYPE_OHLE]:[TRACK_TYPE_STANDARD_GAUGE_RAILTYPE_NONE]],_xlfn.LAMBDA(_xlpm.r,OR(_xlpm.r))),FALSE)</f>
        <v>1</v>
      </c>
      <c r="AF989" s="43" t="b" cm="1">
        <f t="array" ref="AF989">IFERROR(_xlfn.BYROW(TRACK_TYPES[[#This Row],[TRACK_TYPE_NARROW_GAUGE_RAILTYPE_OHLE]:[TRACK_TYPE_NARROW_GAUGE_RAILTYPE_NONE]],_xlfn.LAMBDA(_xlpm.r,OR(_xlpm.r))),FALSE)</f>
        <v>0</v>
      </c>
      <c r="AG989" s="43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3500</v>
      </c>
      <c r="B990" s="45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43" t="b" cm="1">
        <f t="array" ref="AE990">IFERROR(_xlfn.BYROW(TRACK_TYPES[[#This Row],[TRACK_TYPE_STANDARD_GAUGE_RAILTYPE_OHLE]:[TRACK_TYPE_STANDARD_GAUGE_RAILTYPE_NONE]],_xlfn.LAMBDA(_xlpm.r,OR(_xlpm.r))),FALSE)</f>
        <v>1</v>
      </c>
      <c r="AF990" s="43" t="b" cm="1">
        <f t="array" ref="AF990">IFERROR(_xlfn.BYROW(TRACK_TYPES[[#This Row],[TRACK_TYPE_NARROW_GAUGE_RAILTYPE_OHLE]:[TRACK_TYPE_NARROW_GAUGE_RAILTYPE_NONE]],_xlfn.LAMBDA(_xlpm.r,OR(_xlpm.r))),FALSE)</f>
        <v>0</v>
      </c>
      <c r="AG990" s="43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3501</v>
      </c>
      <c r="B991" s="45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43" t="b" cm="1">
        <f t="array" ref="AE991">IFERROR(_xlfn.BYROW(TRACK_TYPES[[#This Row],[TRACK_TYPE_STANDARD_GAUGE_RAILTYPE_OHLE]:[TRACK_TYPE_STANDARD_GAUGE_RAILTYPE_NONE]],_xlfn.LAMBDA(_xlpm.r,OR(_xlpm.r))),FALSE)</f>
        <v>1</v>
      </c>
      <c r="AF991" s="43" t="b" cm="1">
        <f t="array" ref="AF991">IFERROR(_xlfn.BYROW(TRACK_TYPES[[#This Row],[TRACK_TYPE_NARROW_GAUGE_RAILTYPE_OHLE]:[TRACK_TYPE_NARROW_GAUGE_RAILTYPE_NONE]],_xlfn.LAMBDA(_xlpm.r,OR(_xlpm.r))),FALSE)</f>
        <v>0</v>
      </c>
      <c r="AG991" s="43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3502</v>
      </c>
      <c r="B992" s="45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43" t="b" cm="1">
        <f t="array" ref="AE992">IFERROR(_xlfn.BYROW(TRACK_TYPES[[#This Row],[TRACK_TYPE_STANDARD_GAUGE_RAILTYPE_OHLE]:[TRACK_TYPE_STANDARD_GAUGE_RAILTYPE_NONE]],_xlfn.LAMBDA(_xlpm.r,OR(_xlpm.r))),FALSE)</f>
        <v>1</v>
      </c>
      <c r="AF992" s="43" t="b" cm="1">
        <f t="array" ref="AF992">IFERROR(_xlfn.BYROW(TRACK_TYPES[[#This Row],[TRACK_TYPE_NARROW_GAUGE_RAILTYPE_OHLE]:[TRACK_TYPE_NARROW_GAUGE_RAILTYPE_NONE]],_xlfn.LAMBDA(_xlpm.r,OR(_xlpm.r))),FALSE)</f>
        <v>0</v>
      </c>
      <c r="AG992" s="43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3503</v>
      </c>
      <c r="B993" s="45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43" t="b" cm="1">
        <f t="array" ref="AE993">IFERROR(_xlfn.BYROW(TRACK_TYPES[[#This Row],[TRACK_TYPE_STANDARD_GAUGE_RAILTYPE_OHLE]:[TRACK_TYPE_STANDARD_GAUGE_RAILTYPE_NONE]],_xlfn.LAMBDA(_xlpm.r,OR(_xlpm.r))),FALSE)</f>
        <v>1</v>
      </c>
      <c r="AF993" s="43" t="b" cm="1">
        <f t="array" ref="AF993">IFERROR(_xlfn.BYROW(TRACK_TYPES[[#This Row],[TRACK_TYPE_NARROW_GAUGE_RAILTYPE_OHLE]:[TRACK_TYPE_NARROW_GAUGE_RAILTYPE_NONE]],_xlfn.LAMBDA(_xlpm.r,OR(_xlpm.r))),FALSE)</f>
        <v>0</v>
      </c>
      <c r="AG993" s="43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3504</v>
      </c>
      <c r="B994" s="45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43" t="b" cm="1">
        <f t="array" ref="AE994">IFERROR(_xlfn.BYROW(TRACK_TYPES[[#This Row],[TRACK_TYPE_STANDARD_GAUGE_RAILTYPE_OHLE]:[TRACK_TYPE_STANDARD_GAUGE_RAILTYPE_NONE]],_xlfn.LAMBDA(_xlpm.r,OR(_xlpm.r))),FALSE)</f>
        <v>1</v>
      </c>
      <c r="AF994" s="43" t="b" cm="1">
        <f t="array" ref="AF994">IFERROR(_xlfn.BYROW(TRACK_TYPES[[#This Row],[TRACK_TYPE_NARROW_GAUGE_RAILTYPE_OHLE]:[TRACK_TYPE_NARROW_GAUGE_RAILTYPE_NONE]],_xlfn.LAMBDA(_xlpm.r,OR(_xlpm.r))),FALSE)</f>
        <v>0</v>
      </c>
      <c r="AG994" s="43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3505</v>
      </c>
      <c r="B995" s="45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43" t="b" cm="1">
        <f t="array" ref="AE995">IFERROR(_xlfn.BYROW(TRACK_TYPES[[#This Row],[TRACK_TYPE_STANDARD_GAUGE_RAILTYPE_OHLE]:[TRACK_TYPE_STANDARD_GAUGE_RAILTYPE_NONE]],_xlfn.LAMBDA(_xlpm.r,OR(_xlpm.r))),FALSE)</f>
        <v>1</v>
      </c>
      <c r="AF995" s="43" t="b" cm="1">
        <f t="array" ref="AF995">IFERROR(_xlfn.BYROW(TRACK_TYPES[[#This Row],[TRACK_TYPE_NARROW_GAUGE_RAILTYPE_OHLE]:[TRACK_TYPE_NARROW_GAUGE_RAILTYPE_NONE]],_xlfn.LAMBDA(_xlpm.r,OR(_xlpm.r))),FALSE)</f>
        <v>0</v>
      </c>
      <c r="AG995" s="43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3506</v>
      </c>
      <c r="B996" s="45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43" t="b" cm="1">
        <f t="array" ref="AE996">IFERROR(_xlfn.BYROW(TRACK_TYPES[[#This Row],[TRACK_TYPE_STANDARD_GAUGE_RAILTYPE_OHLE]:[TRACK_TYPE_STANDARD_GAUGE_RAILTYPE_NONE]],_xlfn.LAMBDA(_xlpm.r,OR(_xlpm.r))),FALSE)</f>
        <v>1</v>
      </c>
      <c r="AF996" s="43" t="b" cm="1">
        <f t="array" ref="AF996">IFERROR(_xlfn.BYROW(TRACK_TYPES[[#This Row],[TRACK_TYPE_NARROW_GAUGE_RAILTYPE_OHLE]:[TRACK_TYPE_NARROW_GAUGE_RAILTYPE_NONE]],_xlfn.LAMBDA(_xlpm.r,OR(_xlpm.r))),FALSE)</f>
        <v>0</v>
      </c>
      <c r="AG996" s="43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3507</v>
      </c>
      <c r="B997" s="45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43" t="b" cm="1">
        <f t="array" ref="AE997">IFERROR(_xlfn.BYROW(TRACK_TYPES[[#This Row],[TRACK_TYPE_STANDARD_GAUGE_RAILTYPE_OHLE]:[TRACK_TYPE_STANDARD_GAUGE_RAILTYPE_NONE]],_xlfn.LAMBDA(_xlpm.r,OR(_xlpm.r))),FALSE)</f>
        <v>1</v>
      </c>
      <c r="AF997" s="43" t="b" cm="1">
        <f t="array" ref="AF997">IFERROR(_xlfn.BYROW(TRACK_TYPES[[#This Row],[TRACK_TYPE_NARROW_GAUGE_RAILTYPE_OHLE]:[TRACK_TYPE_NARROW_GAUGE_RAILTYPE_NONE]],_xlfn.LAMBDA(_xlpm.r,OR(_xlpm.r))),FALSE)</f>
        <v>0</v>
      </c>
      <c r="AG997" s="43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3508</v>
      </c>
      <c r="B998" s="45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43" t="b" cm="1">
        <f t="array" ref="AE998">IFERROR(_xlfn.BYROW(TRACK_TYPES[[#This Row],[TRACK_TYPE_STANDARD_GAUGE_RAILTYPE_OHLE]:[TRACK_TYPE_STANDARD_GAUGE_RAILTYPE_NONE]],_xlfn.LAMBDA(_xlpm.r,OR(_xlpm.r))),FALSE)</f>
        <v>1</v>
      </c>
      <c r="AF998" s="43" t="b" cm="1">
        <f t="array" ref="AF998">IFERROR(_xlfn.BYROW(TRACK_TYPES[[#This Row],[TRACK_TYPE_NARROW_GAUGE_RAILTYPE_OHLE]:[TRACK_TYPE_NARROW_GAUGE_RAILTYPE_NONE]],_xlfn.LAMBDA(_xlpm.r,OR(_xlpm.r))),FALSE)</f>
        <v>0</v>
      </c>
      <c r="AG998" s="43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3509</v>
      </c>
      <c r="B999" s="45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43" t="b" cm="1">
        <f t="array" ref="AE999">IFERROR(_xlfn.BYROW(TRACK_TYPES[[#This Row],[TRACK_TYPE_STANDARD_GAUGE_RAILTYPE_OHLE]:[TRACK_TYPE_STANDARD_GAUGE_RAILTYPE_NONE]],_xlfn.LAMBDA(_xlpm.r,OR(_xlpm.r))),FALSE)</f>
        <v>1</v>
      </c>
      <c r="AF999" s="43" t="b" cm="1">
        <f t="array" ref="AF999">IFERROR(_xlfn.BYROW(TRACK_TYPES[[#This Row],[TRACK_TYPE_NARROW_GAUGE_RAILTYPE_OHLE]:[TRACK_TYPE_NARROW_GAUGE_RAILTYPE_NONE]],_xlfn.LAMBDA(_xlpm.r,OR(_xlpm.r))),FALSE)</f>
        <v>0</v>
      </c>
      <c r="AG999" s="43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3510</v>
      </c>
      <c r="B1000" s="45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43" t="b" cm="1">
        <f t="array" ref="AE1000">IFERROR(_xlfn.BYROW(TRACK_TYPES[[#This Row],[TRACK_TYPE_STANDARD_GAUGE_RAILTYPE_OHLE]:[TRACK_TYPE_STANDARD_GAUGE_RAILTYPE_NONE]],_xlfn.LAMBDA(_xlpm.r,OR(_xlpm.r))),FALSE)</f>
        <v>1</v>
      </c>
      <c r="AF1000" s="43" t="b" cm="1">
        <f t="array" ref="AF1000">IFERROR(_xlfn.BYROW(TRACK_TYPES[[#This Row],[TRACK_TYPE_NARROW_GAUGE_RAILTYPE_OHLE]:[TRACK_TYPE_NARROW_GAUGE_RAILTYPE_NONE]],_xlfn.LAMBDA(_xlpm.r,OR(_xlpm.r))),FALSE)</f>
        <v>0</v>
      </c>
      <c r="AG1000" s="43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3511</v>
      </c>
      <c r="B1001" s="45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43" t="b" cm="1">
        <f t="array" ref="AE1001">IFERROR(_xlfn.BYROW(TRACK_TYPES[[#This Row],[TRACK_TYPE_STANDARD_GAUGE_RAILTYPE_OHLE]:[TRACK_TYPE_STANDARD_GAUGE_RAILTYPE_NONE]],_xlfn.LAMBDA(_xlpm.r,OR(_xlpm.r))),FALSE)</f>
        <v>1</v>
      </c>
      <c r="AF1001" s="43" t="b" cm="1">
        <f t="array" ref="AF1001">IFERROR(_xlfn.BYROW(TRACK_TYPES[[#This Row],[TRACK_TYPE_NARROW_GAUGE_RAILTYPE_OHLE]:[TRACK_TYPE_NARROW_GAUGE_RAILTYPE_NONE]],_xlfn.LAMBDA(_xlpm.r,OR(_xlpm.r))),FALSE)</f>
        <v>0</v>
      </c>
      <c r="AG1001" s="43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3512</v>
      </c>
      <c r="B1002" s="45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43" t="b" cm="1">
        <f t="array" ref="AE1002">IFERROR(_xlfn.BYROW(TRACK_TYPES[[#This Row],[TRACK_TYPE_STANDARD_GAUGE_RAILTYPE_OHLE]:[TRACK_TYPE_STANDARD_GAUGE_RAILTYPE_NONE]],_xlfn.LAMBDA(_xlpm.r,OR(_xlpm.r))),FALSE)</f>
        <v>1</v>
      </c>
      <c r="AF1002" s="43" t="b" cm="1">
        <f t="array" ref="AF1002">IFERROR(_xlfn.BYROW(TRACK_TYPES[[#This Row],[TRACK_TYPE_NARROW_GAUGE_RAILTYPE_OHLE]:[TRACK_TYPE_NARROW_GAUGE_RAILTYPE_NONE]],_xlfn.LAMBDA(_xlpm.r,OR(_xlpm.r))),FALSE)</f>
        <v>0</v>
      </c>
      <c r="AG1002" s="43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3513</v>
      </c>
      <c r="B1003" s="45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43" t="b" cm="1">
        <f t="array" ref="AE1003">IFERROR(_xlfn.BYROW(TRACK_TYPES[[#This Row],[TRACK_TYPE_STANDARD_GAUGE_RAILTYPE_OHLE]:[TRACK_TYPE_STANDARD_GAUGE_RAILTYPE_NONE]],_xlfn.LAMBDA(_xlpm.r,OR(_xlpm.r))),FALSE)</f>
        <v>0</v>
      </c>
      <c r="AF1003" s="43" t="b" cm="1">
        <f t="array" ref="AF1003">IFERROR(_xlfn.BYROW(TRACK_TYPES[[#This Row],[TRACK_TYPE_NARROW_GAUGE_RAILTYPE_OHLE]:[TRACK_TYPE_NARROW_GAUGE_RAILTYPE_NONE]],_xlfn.LAMBDA(_xlpm.r,OR(_xlpm.r))),FALSE)</f>
        <v>0</v>
      </c>
      <c r="AG1003" s="43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3514</v>
      </c>
      <c r="B1004" s="45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43" t="b" cm="1">
        <f t="array" ref="AE1004">IFERROR(_xlfn.BYROW(TRACK_TYPES[[#This Row],[TRACK_TYPE_STANDARD_GAUGE_RAILTYPE_OHLE]:[TRACK_TYPE_STANDARD_GAUGE_RAILTYPE_NONE]],_xlfn.LAMBDA(_xlpm.r,OR(_xlpm.r))),FALSE)</f>
        <v>0</v>
      </c>
      <c r="AF1004" s="43" t="b" cm="1">
        <f t="array" ref="AF1004">IFERROR(_xlfn.BYROW(TRACK_TYPES[[#This Row],[TRACK_TYPE_NARROW_GAUGE_RAILTYPE_OHLE]:[TRACK_TYPE_NARROW_GAUGE_RAILTYPE_NONE]],_xlfn.LAMBDA(_xlpm.r,OR(_xlpm.r))),FALSE)</f>
        <v>1</v>
      </c>
      <c r="AG1004" s="43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3515</v>
      </c>
      <c r="B1005" s="45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43" t="b" cm="1">
        <f t="array" ref="AE1005">IFERROR(_xlfn.BYROW(TRACK_TYPES[[#This Row],[TRACK_TYPE_STANDARD_GAUGE_RAILTYPE_OHLE]:[TRACK_TYPE_STANDARD_GAUGE_RAILTYPE_NONE]],_xlfn.LAMBDA(_xlpm.r,OR(_xlpm.r))),FALSE)</f>
        <v>0</v>
      </c>
      <c r="AF1005" s="43" t="b" cm="1">
        <f t="array" ref="AF1005">IFERROR(_xlfn.BYROW(TRACK_TYPES[[#This Row],[TRACK_TYPE_NARROW_GAUGE_RAILTYPE_OHLE]:[TRACK_TYPE_NARROW_GAUGE_RAILTYPE_NONE]],_xlfn.LAMBDA(_xlpm.r,OR(_xlpm.r))),FALSE)</f>
        <v>1</v>
      </c>
      <c r="AG1005" s="43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3516</v>
      </c>
      <c r="B1006" s="45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43" t="b" cm="1">
        <f t="array" ref="AE1006">IFERROR(_xlfn.BYROW(TRACK_TYPES[[#This Row],[TRACK_TYPE_STANDARD_GAUGE_RAILTYPE_OHLE]:[TRACK_TYPE_STANDARD_GAUGE_RAILTYPE_NONE]],_xlfn.LAMBDA(_xlpm.r,OR(_xlpm.r))),FALSE)</f>
        <v>1</v>
      </c>
      <c r="AF1006" s="43" t="b" cm="1">
        <f t="array" ref="AF1006">IFERROR(_xlfn.BYROW(TRACK_TYPES[[#This Row],[TRACK_TYPE_NARROW_GAUGE_RAILTYPE_OHLE]:[TRACK_TYPE_NARROW_GAUGE_RAILTYPE_NONE]],_xlfn.LAMBDA(_xlpm.r,OR(_xlpm.r))),FALSE)</f>
        <v>0</v>
      </c>
      <c r="AG1006" s="43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3517</v>
      </c>
      <c r="B1007" s="45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43" t="b" cm="1">
        <f t="array" ref="AE1007">IFERROR(_xlfn.BYROW(TRACK_TYPES[[#This Row],[TRACK_TYPE_STANDARD_GAUGE_RAILTYPE_OHLE]:[TRACK_TYPE_STANDARD_GAUGE_RAILTYPE_NONE]],_xlfn.LAMBDA(_xlpm.r,OR(_xlpm.r))),FALSE)</f>
        <v>0</v>
      </c>
      <c r="AF1007" s="43" t="b" cm="1">
        <f t="array" ref="AF1007">IFERROR(_xlfn.BYROW(TRACK_TYPES[[#This Row],[TRACK_TYPE_NARROW_GAUGE_RAILTYPE_OHLE]:[TRACK_TYPE_NARROW_GAUGE_RAILTYPE_NONE]],_xlfn.LAMBDA(_xlpm.r,OR(_xlpm.r))),FALSE)</f>
        <v>0</v>
      </c>
      <c r="AG1007" s="43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3518</v>
      </c>
      <c r="B1008" s="45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43" t="b" cm="1">
        <f t="array" ref="AE1008">IFERROR(_xlfn.BYROW(TRACK_TYPES[[#This Row],[TRACK_TYPE_STANDARD_GAUGE_RAILTYPE_OHLE]:[TRACK_TYPE_STANDARD_GAUGE_RAILTYPE_NONE]],_xlfn.LAMBDA(_xlpm.r,OR(_xlpm.r))),FALSE)</f>
        <v>0</v>
      </c>
      <c r="AF1008" s="43" t="b" cm="1">
        <f t="array" ref="AF1008">IFERROR(_xlfn.BYROW(TRACK_TYPES[[#This Row],[TRACK_TYPE_NARROW_GAUGE_RAILTYPE_OHLE]:[TRACK_TYPE_NARROW_GAUGE_RAILTYPE_NONE]],_xlfn.LAMBDA(_xlpm.r,OR(_xlpm.r))),FALSE)</f>
        <v>0</v>
      </c>
      <c r="AG1008" s="43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3519</v>
      </c>
      <c r="B1009" s="45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43" t="b" cm="1">
        <f t="array" ref="AE1009">IFERROR(_xlfn.BYROW(TRACK_TYPES[[#This Row],[TRACK_TYPE_STANDARD_GAUGE_RAILTYPE_OHLE]:[TRACK_TYPE_STANDARD_GAUGE_RAILTYPE_NONE]],_xlfn.LAMBDA(_xlpm.r,OR(_xlpm.r))),FALSE)</f>
        <v>1</v>
      </c>
      <c r="AF1009" s="43" t="b" cm="1">
        <f t="array" ref="AF1009">IFERROR(_xlfn.BYROW(TRACK_TYPES[[#This Row],[TRACK_TYPE_NARROW_GAUGE_RAILTYPE_OHLE]:[TRACK_TYPE_NARROW_GAUGE_RAILTYPE_NONE]],_xlfn.LAMBDA(_xlpm.r,OR(_xlpm.r))),FALSE)</f>
        <v>0</v>
      </c>
      <c r="AG1009" s="43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3520</v>
      </c>
      <c r="B1010" s="45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43" t="b" cm="1">
        <f t="array" ref="AE1010">IFERROR(_xlfn.BYROW(TRACK_TYPES[[#This Row],[TRACK_TYPE_STANDARD_GAUGE_RAILTYPE_OHLE]:[TRACK_TYPE_STANDARD_GAUGE_RAILTYPE_NONE]],_xlfn.LAMBDA(_xlpm.r,OR(_xlpm.r))),FALSE)</f>
        <v>0</v>
      </c>
      <c r="AF1010" s="43" t="b" cm="1">
        <f t="array" ref="AF1010">IFERROR(_xlfn.BYROW(TRACK_TYPES[[#This Row],[TRACK_TYPE_NARROW_GAUGE_RAILTYPE_OHLE]:[TRACK_TYPE_NARROW_GAUGE_RAILTYPE_NONE]],_xlfn.LAMBDA(_xlpm.r,OR(_xlpm.r))),FALSE)</f>
        <v>1</v>
      </c>
      <c r="AG1010" s="43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3570</v>
      </c>
      <c r="B1011" s="45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43" t="b" cm="1">
        <f t="array" ref="AE1011">IFERROR(_xlfn.BYROW(TRACK_TYPES[[#This Row],[TRACK_TYPE_STANDARD_GAUGE_RAILTYPE_OHLE]:[TRACK_TYPE_STANDARD_GAUGE_RAILTYPE_NONE]],_xlfn.LAMBDA(_xlpm.r,OR(_xlpm.r))),FALSE)</f>
        <v>0</v>
      </c>
      <c r="AF1011" s="43" t="b" cm="1">
        <f t="array" ref="AF1011">IFERROR(_xlfn.BYROW(TRACK_TYPES[[#This Row],[TRACK_TYPE_NARROW_GAUGE_RAILTYPE_OHLE]:[TRACK_TYPE_NARROW_GAUGE_RAILTYPE_NONE]],_xlfn.LAMBDA(_xlpm.r,OR(_xlpm.r))),FALSE)</f>
        <v>1</v>
      </c>
      <c r="AG1011" s="43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3562</v>
      </c>
      <c r="B1012" s="45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43" t="b" cm="1">
        <f t="array" ref="AE1012">IFERROR(_xlfn.BYROW(TRACK_TYPES[[#This Row],[TRACK_TYPE_STANDARD_GAUGE_RAILTYPE_OHLE]:[TRACK_TYPE_STANDARD_GAUGE_RAILTYPE_NONE]],_xlfn.LAMBDA(_xlpm.r,OR(_xlpm.r))),FALSE)</f>
        <v>0</v>
      </c>
      <c r="AF1012" s="43" t="b" cm="1">
        <f t="array" ref="AF1012">IFERROR(_xlfn.BYROW(TRACK_TYPES[[#This Row],[TRACK_TYPE_NARROW_GAUGE_RAILTYPE_OHLE]:[TRACK_TYPE_NARROW_GAUGE_RAILTYPE_NONE]],_xlfn.LAMBDA(_xlpm.r,OR(_xlpm.r))),FALSE)</f>
        <v>1</v>
      </c>
      <c r="AG1012" s="43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3574</v>
      </c>
      <c r="B1013" s="45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43" t="b" cm="1">
        <f t="array" ref="AE1013">IFERROR(_xlfn.BYROW(TRACK_TYPES[[#This Row],[TRACK_TYPE_STANDARD_GAUGE_RAILTYPE_OHLE]:[TRACK_TYPE_STANDARD_GAUGE_RAILTYPE_NONE]],_xlfn.LAMBDA(_xlpm.r,OR(_xlpm.r))),FALSE)</f>
        <v>0</v>
      </c>
      <c r="AF1013" s="43" t="b" cm="1">
        <f t="array" ref="AF1013">IFERROR(_xlfn.BYROW(TRACK_TYPES[[#This Row],[TRACK_TYPE_NARROW_GAUGE_RAILTYPE_OHLE]:[TRACK_TYPE_NARROW_GAUGE_RAILTYPE_NONE]],_xlfn.LAMBDA(_xlpm.r,OR(_xlpm.r))),FALSE)</f>
        <v>1</v>
      </c>
      <c r="AG1013" s="43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3577</v>
      </c>
      <c r="B1014" s="45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43" t="b" cm="1">
        <f t="array" ref="AE1014">IFERROR(_xlfn.BYROW(TRACK_TYPES[[#This Row],[TRACK_TYPE_STANDARD_GAUGE_RAILTYPE_OHLE]:[TRACK_TYPE_STANDARD_GAUGE_RAILTYPE_NONE]],_xlfn.LAMBDA(_xlpm.r,OR(_xlpm.r))),FALSE)</f>
        <v>1</v>
      </c>
      <c r="AF1014" s="43" t="b" cm="1">
        <f t="array" ref="AF1014">IFERROR(_xlfn.BYROW(TRACK_TYPES[[#This Row],[TRACK_TYPE_NARROW_GAUGE_RAILTYPE_OHLE]:[TRACK_TYPE_NARROW_GAUGE_RAILTYPE_NONE]],_xlfn.LAMBDA(_xlpm.r,OR(_xlpm.r))),FALSE)</f>
        <v>1</v>
      </c>
      <c r="AG1014" s="43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3582</v>
      </c>
      <c r="B1015" s="45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43" t="b" cm="1">
        <f t="array" ref="AE1015">IFERROR(_xlfn.BYROW(TRACK_TYPES[[#This Row],[TRACK_TYPE_STANDARD_GAUGE_RAILTYPE_OHLE]:[TRACK_TYPE_STANDARD_GAUGE_RAILTYPE_NONE]],_xlfn.LAMBDA(_xlpm.r,OR(_xlpm.r))),FALSE)</f>
        <v>0</v>
      </c>
      <c r="AF1015" s="43" t="b" cm="1">
        <f t="array" ref="AF1015">IFERROR(_xlfn.BYROW(TRACK_TYPES[[#This Row],[TRACK_TYPE_NARROW_GAUGE_RAILTYPE_OHLE]:[TRACK_TYPE_NARROW_GAUGE_RAILTYPE_NONE]],_xlfn.LAMBDA(_xlpm.r,OR(_xlpm.r))),FALSE)</f>
        <v>1</v>
      </c>
      <c r="AG1015" s="43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3575</v>
      </c>
      <c r="B1016" s="45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43" t="b" cm="1">
        <f t="array" ref="AE1016">IFERROR(_xlfn.BYROW(TRACK_TYPES[[#This Row],[TRACK_TYPE_STANDARD_GAUGE_RAILTYPE_OHLE]:[TRACK_TYPE_STANDARD_GAUGE_RAILTYPE_NONE]],_xlfn.LAMBDA(_xlpm.r,OR(_xlpm.r))),FALSE)</f>
        <v>0</v>
      </c>
      <c r="AF1016" s="43" t="b" cm="1">
        <f t="array" ref="AF1016">IFERROR(_xlfn.BYROW(TRACK_TYPES[[#This Row],[TRACK_TYPE_NARROW_GAUGE_RAILTYPE_OHLE]:[TRACK_TYPE_NARROW_GAUGE_RAILTYPE_NONE]],_xlfn.LAMBDA(_xlpm.r,OR(_xlpm.r))),FALSE)</f>
        <v>0</v>
      </c>
      <c r="AG1016" s="43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3585</v>
      </c>
      <c r="B1017" s="45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43" t="b" cm="1">
        <f t="array" ref="AE1017">IFERROR(_xlfn.BYROW(TRACK_TYPES[[#This Row],[TRACK_TYPE_STANDARD_GAUGE_RAILTYPE_OHLE]:[TRACK_TYPE_STANDARD_GAUGE_RAILTYPE_NONE]],_xlfn.LAMBDA(_xlpm.r,OR(_xlpm.r))),FALSE)</f>
        <v>0</v>
      </c>
      <c r="AF1017" s="43" t="b" cm="1">
        <f t="array" ref="AF1017">IFERROR(_xlfn.BYROW(TRACK_TYPES[[#This Row],[TRACK_TYPE_NARROW_GAUGE_RAILTYPE_OHLE]:[TRACK_TYPE_NARROW_GAUGE_RAILTYPE_NONE]],_xlfn.LAMBDA(_xlpm.r,OR(_xlpm.r))),FALSE)</f>
        <v>0</v>
      </c>
      <c r="AG1017" s="43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>
      <c r="A1018" s="2" t="s">
        <v>3626</v>
      </c>
      <c r="B1018" s="45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43" t="b" cm="1">
        <f t="array" ref="AE1018">IFERROR(_xlfn.BYROW(TRACK_TYPES[[#This Row],[TRACK_TYPE_STANDARD_GAUGE_RAILTYPE_OHLE]:[TRACK_TYPE_STANDARD_GAUGE_RAILTYPE_NONE]],_xlfn.LAMBDA(_xlpm.r,OR(_xlpm.r))),FALSE)</f>
        <v>1</v>
      </c>
      <c r="AF1018" s="43" t="b" cm="1">
        <f t="array" ref="AF1018">IFERROR(_xlfn.BYROW(TRACK_TYPES[[#This Row],[TRACK_TYPE_NARROW_GAUGE_RAILTYPE_OHLE]:[TRACK_TYPE_NARROW_GAUGE_RAILTYPE_NONE]],_xlfn.LAMBDA(_xlpm.r,OR(_xlpm.r))),FALSE)</f>
        <v>1</v>
      </c>
      <c r="AG1018" s="43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>
      <c r="A1019" s="2" t="s">
        <v>3643</v>
      </c>
      <c r="B1019" s="45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43" t="b" cm="1">
        <f t="array" ref="AE1019">IFERROR(_xlfn.BYROW(TRACK_TYPES[[#This Row],[TRACK_TYPE_STANDARD_GAUGE_RAILTYPE_OHLE]:[TRACK_TYPE_STANDARD_GAUGE_RAILTYPE_NONE]],_xlfn.LAMBDA(_xlpm.r,OR(_xlpm.r))),FALSE)</f>
        <v>1</v>
      </c>
      <c r="AF1019" s="43" t="b" cm="1">
        <f t="array" ref="AF1019">IFERROR(_xlfn.BYROW(TRACK_TYPES[[#This Row],[TRACK_TYPE_NARROW_GAUGE_RAILTYPE_OHLE]:[TRACK_TYPE_NARROW_GAUGE_RAILTYPE_NONE]],_xlfn.LAMBDA(_xlpm.r,OR(_xlpm.r))),FALSE)</f>
        <v>1</v>
      </c>
      <c r="AG1019" s="43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>
      <c r="A1020" s="2" t="s">
        <v>3646</v>
      </c>
      <c r="B1020" s="45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43" t="b" cm="1">
        <f t="array" ref="AE1020">IFERROR(_xlfn.BYROW(TRACK_TYPES[[#This Row],[TRACK_TYPE_STANDARD_GAUGE_RAILTYPE_OHLE]:[TRACK_TYPE_STANDARD_GAUGE_RAILTYPE_NONE]],_xlfn.LAMBDA(_xlpm.r,OR(_xlpm.r))),FALSE)</f>
        <v>1</v>
      </c>
      <c r="AF1020" s="43" t="b" cm="1">
        <f t="array" ref="AF1020">IFERROR(_xlfn.BYROW(TRACK_TYPES[[#This Row],[TRACK_TYPE_NARROW_GAUGE_RAILTYPE_OHLE]:[TRACK_TYPE_NARROW_GAUGE_RAILTYPE_NONE]],_xlfn.LAMBDA(_xlpm.r,OR(_xlpm.r))),FALSE)</f>
        <v>0</v>
      </c>
      <c r="AG1020" s="43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>
      <c r="A1021" s="2" t="s">
        <v>3656</v>
      </c>
      <c r="B1021" s="45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43" t="b" cm="1">
        <f t="array" ref="AE1021">IFERROR(_xlfn.BYROW(TRACK_TYPES[[#This Row],[TRACK_TYPE_STANDARD_GAUGE_RAILTYPE_OHLE]:[TRACK_TYPE_STANDARD_GAUGE_RAILTYPE_NONE]],_xlfn.LAMBDA(_xlpm.r,OR(_xlpm.r))),FALSE)</f>
        <v>1</v>
      </c>
      <c r="AF1021" s="43" t="b" cm="1">
        <f t="array" ref="AF1021">IFERROR(_xlfn.BYROW(TRACK_TYPES[[#This Row],[TRACK_TYPE_NARROW_GAUGE_RAILTYPE_OHLE]:[TRACK_TYPE_NARROW_GAUGE_RAILTYPE_NONE]],_xlfn.LAMBDA(_xlpm.r,OR(_xlpm.r))),FALSE)</f>
        <v>1</v>
      </c>
      <c r="AG1021" s="43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>
      <c r="A1022" s="2" t="s">
        <v>3661</v>
      </c>
      <c r="B1022" s="45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43" t="b" cm="1">
        <f t="array" ref="AE1022">IFERROR(_xlfn.BYROW(TRACK_TYPES[[#This Row],[TRACK_TYPE_STANDARD_GAUGE_RAILTYPE_OHLE]:[TRACK_TYPE_STANDARD_GAUGE_RAILTYPE_NONE]],_xlfn.LAMBDA(_xlpm.r,OR(_xlpm.r))),FALSE)</f>
        <v>1</v>
      </c>
      <c r="AF1022" s="43" t="b" cm="1">
        <f t="array" ref="AF1022">IFERROR(_xlfn.BYROW(TRACK_TYPES[[#This Row],[TRACK_TYPE_NARROW_GAUGE_RAILTYPE_OHLE]:[TRACK_TYPE_NARROW_GAUGE_RAILTYPE_NONE]],_xlfn.LAMBDA(_xlpm.r,OR(_xlpm.r))),FALSE)</f>
        <v>1</v>
      </c>
      <c r="AG1022" s="43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>
      <c r="A1023" s="2" t="s">
        <v>3660</v>
      </c>
      <c r="B1023" s="45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43" t="b" cm="1">
        <f t="array" ref="AE1023">IFERROR(_xlfn.BYROW(TRACK_TYPES[[#This Row],[TRACK_TYPE_STANDARD_GAUGE_RAILTYPE_OHLE]:[TRACK_TYPE_STANDARD_GAUGE_RAILTYPE_NONE]],_xlfn.LAMBDA(_xlpm.r,OR(_xlpm.r))),FALSE)</f>
        <v>1</v>
      </c>
      <c r="AF1023" s="43" t="b" cm="1">
        <f t="array" ref="AF1023">IFERROR(_xlfn.BYROW(TRACK_TYPES[[#This Row],[TRACK_TYPE_NARROW_GAUGE_RAILTYPE_OHLE]:[TRACK_TYPE_NARROW_GAUGE_RAILTYPE_NONE]],_xlfn.LAMBDA(_xlpm.r,OR(_xlpm.r))),FALSE)</f>
        <v>1</v>
      </c>
      <c r="AG1023" s="43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>
      <c r="A1024" s="2" t="s">
        <v>3667</v>
      </c>
      <c r="B1024" s="45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43" t="b" cm="1">
        <f t="array" ref="AE1024">IFERROR(_xlfn.BYROW(TRACK_TYPES[[#This Row],[TRACK_TYPE_STANDARD_GAUGE_RAILTYPE_OHLE]:[TRACK_TYPE_STANDARD_GAUGE_RAILTYPE_NONE]],_xlfn.LAMBDA(_xlpm.r,OR(_xlpm.r))),FALSE)</f>
        <v>1</v>
      </c>
      <c r="AF1024" s="43" t="b" cm="1">
        <f t="array" ref="AF1024">IFERROR(_xlfn.BYROW(TRACK_TYPES[[#This Row],[TRACK_TYPE_NARROW_GAUGE_RAILTYPE_OHLE]:[TRACK_TYPE_NARROW_GAUGE_RAILTYPE_NONE]],_xlfn.LAMBDA(_xlpm.r,OR(_xlpm.r))),FALSE)</f>
        <v>1</v>
      </c>
      <c r="AG1024" s="43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>
      <c r="A1025" s="2" t="s">
        <v>3669</v>
      </c>
      <c r="B1025" s="45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43" t="b" cm="1">
        <f t="array" ref="AE1025">IFERROR(_xlfn.BYROW(TRACK_TYPES[[#This Row],[TRACK_TYPE_STANDARD_GAUGE_RAILTYPE_OHLE]:[TRACK_TYPE_STANDARD_GAUGE_RAILTYPE_NONE]],_xlfn.LAMBDA(_xlpm.r,OR(_xlpm.r))),FALSE)</f>
        <v>1</v>
      </c>
      <c r="AF1025" s="43" t="b" cm="1">
        <f t="array" ref="AF1025">IFERROR(_xlfn.BYROW(TRACK_TYPES[[#This Row],[TRACK_TYPE_NARROW_GAUGE_RAILTYPE_OHLE]:[TRACK_TYPE_NARROW_GAUGE_RAILTYPE_NONE]],_xlfn.LAMBDA(_xlpm.r,OR(_xlpm.r))),FALSE)</f>
        <v>0</v>
      </c>
      <c r="AG1025" s="43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>
      <c r="A1026" s="2" t="s">
        <v>3672</v>
      </c>
      <c r="B1026" s="45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43" t="b" cm="1">
        <f t="array" ref="AE1026">IFERROR(_xlfn.BYROW(TRACK_TYPES[[#This Row],[TRACK_TYPE_STANDARD_GAUGE_RAILTYPE_OHLE]:[TRACK_TYPE_STANDARD_GAUGE_RAILTYPE_NONE]],_xlfn.LAMBDA(_xlpm.r,OR(_xlpm.r))),FALSE)</f>
        <v>1</v>
      </c>
      <c r="AF1026" s="43" t="b" cm="1">
        <f t="array" ref="AF1026">IFERROR(_xlfn.BYROW(TRACK_TYPES[[#This Row],[TRACK_TYPE_NARROW_GAUGE_RAILTYPE_OHLE]:[TRACK_TYPE_NARROW_GAUGE_RAILTYPE_NONE]],_xlfn.LAMBDA(_xlpm.r,OR(_xlpm.r))),FALSE)</f>
        <v>0</v>
      </c>
      <c r="AG1026" s="43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>
      <c r="A1027" s="2" t="s">
        <v>3677</v>
      </c>
      <c r="B1027" s="45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43" t="b" cm="1">
        <f t="array" ref="AE1027">IFERROR(_xlfn.BYROW(TRACK_TYPES[[#This Row],[TRACK_TYPE_STANDARD_GAUGE_RAILTYPE_OHLE]:[TRACK_TYPE_STANDARD_GAUGE_RAILTYPE_NONE]],_xlfn.LAMBDA(_xlpm.r,OR(_xlpm.r))),FALSE)</f>
        <v>1</v>
      </c>
      <c r="AF1027" s="43" t="b" cm="1">
        <f t="array" ref="AF1027">IFERROR(_xlfn.BYROW(TRACK_TYPES[[#This Row],[TRACK_TYPE_NARROW_GAUGE_RAILTYPE_OHLE]:[TRACK_TYPE_NARROW_GAUGE_RAILTYPE_NONE]],_xlfn.LAMBDA(_xlpm.r,OR(_xlpm.r))),FALSE)</f>
        <v>0</v>
      </c>
      <c r="AG1027" s="43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>
      <c r="A1028" s="2" t="s">
        <v>3678</v>
      </c>
      <c r="B1028" s="45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43" t="b" cm="1">
        <f t="array" ref="AE1028">IFERROR(_xlfn.BYROW(TRACK_TYPES[[#This Row],[TRACK_TYPE_STANDARD_GAUGE_RAILTYPE_OHLE]:[TRACK_TYPE_STANDARD_GAUGE_RAILTYPE_NONE]],_xlfn.LAMBDA(_xlpm.r,OR(_xlpm.r))),FALSE)</f>
        <v>1</v>
      </c>
      <c r="AF1028" s="43" t="b" cm="1">
        <f t="array" ref="AF1028">IFERROR(_xlfn.BYROW(TRACK_TYPES[[#This Row],[TRACK_TYPE_NARROW_GAUGE_RAILTYPE_OHLE]:[TRACK_TYPE_NARROW_GAUGE_RAILTYPE_NONE]],_xlfn.LAMBDA(_xlpm.r,OR(_xlpm.r))),FALSE)</f>
        <v>0</v>
      </c>
      <c r="AG1028" s="43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>
      <c r="A1029" s="2" t="s">
        <v>3682</v>
      </c>
      <c r="B1029" s="45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43" t="b" cm="1">
        <f t="array" ref="AE1029">IFERROR(_xlfn.BYROW(TRACK_TYPES[[#This Row],[TRACK_TYPE_STANDARD_GAUGE_RAILTYPE_OHLE]:[TRACK_TYPE_STANDARD_GAUGE_RAILTYPE_NONE]],_xlfn.LAMBDA(_xlpm.r,OR(_xlpm.r))),FALSE)</f>
        <v>1</v>
      </c>
      <c r="AF1029" s="43" t="b" cm="1">
        <f t="array" ref="AF1029">IFERROR(_xlfn.BYROW(TRACK_TYPES[[#This Row],[TRACK_TYPE_NARROW_GAUGE_RAILTYPE_OHLE]:[TRACK_TYPE_NARROW_GAUGE_RAILTYPE_NONE]],_xlfn.LAMBDA(_xlpm.r,OR(_xlpm.r))),FALSE)</f>
        <v>0</v>
      </c>
      <c r="AG1029" s="43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>
      <c r="A1030" s="2" t="s">
        <v>3684</v>
      </c>
      <c r="B1030" s="45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43" t="b" cm="1">
        <f t="array" ref="AE1030">IFERROR(_xlfn.BYROW(TRACK_TYPES[[#This Row],[TRACK_TYPE_STANDARD_GAUGE_RAILTYPE_OHLE]:[TRACK_TYPE_STANDARD_GAUGE_RAILTYPE_NONE]],_xlfn.LAMBDA(_xlpm.r,OR(_xlpm.r))),FALSE)</f>
        <v>1</v>
      </c>
      <c r="AF1030" s="43" t="b" cm="1">
        <f t="array" ref="AF1030">IFERROR(_xlfn.BYROW(TRACK_TYPES[[#This Row],[TRACK_TYPE_NARROW_GAUGE_RAILTYPE_OHLE]:[TRACK_TYPE_NARROW_GAUGE_RAILTYPE_NONE]],_xlfn.LAMBDA(_xlpm.r,OR(_xlpm.r))),FALSE)</f>
        <v>1</v>
      </c>
      <c r="AG1030" s="43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>
      <c r="A1031" s="2" t="s">
        <v>3689</v>
      </c>
      <c r="B1031" s="45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43" t="b" cm="1">
        <f t="array" ref="AE1031">IFERROR(_xlfn.BYROW(TRACK_TYPES[[#This Row],[TRACK_TYPE_STANDARD_GAUGE_RAILTYPE_OHLE]:[TRACK_TYPE_STANDARD_GAUGE_RAILTYPE_NONE]],_xlfn.LAMBDA(_xlpm.r,OR(_xlpm.r))),FALSE)</f>
        <v>1</v>
      </c>
      <c r="AF1031" s="43" t="b" cm="1">
        <f t="array" ref="AF1031">IFERROR(_xlfn.BYROW(TRACK_TYPES[[#This Row],[TRACK_TYPE_NARROW_GAUGE_RAILTYPE_OHLE]:[TRACK_TYPE_NARROW_GAUGE_RAILTYPE_NONE]],_xlfn.LAMBDA(_xlpm.r,OR(_xlpm.r))),FALSE)</f>
        <v>0</v>
      </c>
      <c r="AG1031" s="43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>
      <c r="A1032" s="2" t="s">
        <v>3690</v>
      </c>
      <c r="B1032" s="45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43" t="b" cm="1">
        <f t="array" ref="AE1032">IFERROR(_xlfn.BYROW(TRACK_TYPES[[#This Row],[TRACK_TYPE_STANDARD_GAUGE_RAILTYPE_OHLE]:[TRACK_TYPE_STANDARD_GAUGE_RAILTYPE_NONE]],_xlfn.LAMBDA(_xlpm.r,OR(_xlpm.r))),FALSE)</f>
        <v>1</v>
      </c>
      <c r="AF1032" s="43" t="b" cm="1">
        <f t="array" ref="AF1032">IFERROR(_xlfn.BYROW(TRACK_TYPES[[#This Row],[TRACK_TYPE_NARROW_GAUGE_RAILTYPE_OHLE]:[TRACK_TYPE_NARROW_GAUGE_RAILTYPE_NONE]],_xlfn.LAMBDA(_xlpm.r,OR(_xlpm.r))),FALSE)</f>
        <v>0</v>
      </c>
      <c r="AG1032" s="43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>
      <c r="A1033" s="2" t="s">
        <v>3692</v>
      </c>
      <c r="B1033" s="45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43" t="b" cm="1">
        <f t="array" ref="AE1033">IFERROR(_xlfn.BYROW(TRACK_TYPES[[#This Row],[TRACK_TYPE_STANDARD_GAUGE_RAILTYPE_OHLE]:[TRACK_TYPE_STANDARD_GAUGE_RAILTYPE_NONE]],_xlfn.LAMBDA(_xlpm.r,OR(_xlpm.r))),FALSE)</f>
        <v>1</v>
      </c>
      <c r="AF1033" s="43" t="b" cm="1">
        <f t="array" ref="AF1033">IFERROR(_xlfn.BYROW(TRACK_TYPES[[#This Row],[TRACK_TYPE_NARROW_GAUGE_RAILTYPE_OHLE]:[TRACK_TYPE_NARROW_GAUGE_RAILTYPE_NONE]],_xlfn.LAMBDA(_xlpm.r,OR(_xlpm.r))),FALSE)</f>
        <v>0</v>
      </c>
      <c r="AG1033" s="43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>
      <c r="A1034" s="2" t="s">
        <v>3691</v>
      </c>
      <c r="B1034" s="45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43" t="b" cm="1">
        <f t="array" ref="AE1034">IFERROR(_xlfn.BYROW(TRACK_TYPES[[#This Row],[TRACK_TYPE_STANDARD_GAUGE_RAILTYPE_OHLE]:[TRACK_TYPE_STANDARD_GAUGE_RAILTYPE_NONE]],_xlfn.LAMBDA(_xlpm.r,OR(_xlpm.r))),FALSE)</f>
        <v>1</v>
      </c>
      <c r="AF1034" s="43" t="b" cm="1">
        <f t="array" ref="AF1034">IFERROR(_xlfn.BYROW(TRACK_TYPES[[#This Row],[TRACK_TYPE_NARROW_GAUGE_RAILTYPE_OHLE]:[TRACK_TYPE_NARROW_GAUGE_RAILTYPE_NONE]],_xlfn.LAMBDA(_xlpm.r,OR(_xlpm.r))),FALSE)</f>
        <v>0</v>
      </c>
      <c r="AG1034" s="43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>
      <c r="A1035" s="2" t="s">
        <v>3698</v>
      </c>
      <c r="B1035" s="45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43" t="b" cm="1">
        <f t="array" ref="AE1035">IFERROR(_xlfn.BYROW(TRACK_TYPES[[#This Row],[TRACK_TYPE_STANDARD_GAUGE_RAILTYPE_OHLE]:[TRACK_TYPE_STANDARD_GAUGE_RAILTYPE_NONE]],_xlfn.LAMBDA(_xlpm.r,OR(_xlpm.r))),FALSE)</f>
        <v>1</v>
      </c>
      <c r="AF1035" s="43" t="b" cm="1">
        <f t="array" ref="AF1035">IFERROR(_xlfn.BYROW(TRACK_TYPES[[#This Row],[TRACK_TYPE_NARROW_GAUGE_RAILTYPE_OHLE]:[TRACK_TYPE_NARROW_GAUGE_RAILTYPE_NONE]],_xlfn.LAMBDA(_xlpm.r,OR(_xlpm.r))),FALSE)</f>
        <v>0</v>
      </c>
      <c r="AG1035" s="43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>
      <c r="A1036" s="2" t="s">
        <v>3700</v>
      </c>
      <c r="B1036" s="45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43" t="b" cm="1">
        <f t="array" ref="AE1036">IFERROR(_xlfn.BYROW(TRACK_TYPES[[#This Row],[TRACK_TYPE_STANDARD_GAUGE_RAILTYPE_OHLE]:[TRACK_TYPE_STANDARD_GAUGE_RAILTYPE_NONE]],_xlfn.LAMBDA(_xlpm.r,OR(_xlpm.r))),FALSE)</f>
        <v>0</v>
      </c>
      <c r="AF1036" s="43" t="b" cm="1">
        <f t="array" ref="AF1036">IFERROR(_xlfn.BYROW(TRACK_TYPES[[#This Row],[TRACK_TYPE_NARROW_GAUGE_RAILTYPE_OHLE]:[TRACK_TYPE_NARROW_GAUGE_RAILTYPE_NONE]],_xlfn.LAMBDA(_xlpm.r,OR(_xlpm.r))),FALSE)</f>
        <v>0</v>
      </c>
      <c r="AG1036" s="43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>
      <c r="A1037" s="2" t="s">
        <v>3701</v>
      </c>
      <c r="B1037" s="45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43" t="b" cm="1">
        <f t="array" ref="AE1037">IFERROR(_xlfn.BYROW(TRACK_TYPES[[#This Row],[TRACK_TYPE_STANDARD_GAUGE_RAILTYPE_OHLE]:[TRACK_TYPE_STANDARD_GAUGE_RAILTYPE_NONE]],_xlfn.LAMBDA(_xlpm.r,OR(_xlpm.r))),FALSE)</f>
        <v>0</v>
      </c>
      <c r="AF1037" s="43" t="b" cm="1">
        <f t="array" ref="AF1037">IFERROR(_xlfn.BYROW(TRACK_TYPES[[#This Row],[TRACK_TYPE_NARROW_GAUGE_RAILTYPE_OHLE]:[TRACK_TYPE_NARROW_GAUGE_RAILTYPE_NONE]],_xlfn.LAMBDA(_xlpm.r,OR(_xlpm.r))),FALSE)</f>
        <v>0</v>
      </c>
      <c r="AG1037" s="43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>
      <c r="A1038" s="2" t="s">
        <v>3702</v>
      </c>
      <c r="B1038" s="45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43" t="b" cm="1">
        <f t="array" ref="AE1038">IFERROR(_xlfn.BYROW(TRACK_TYPES[[#This Row],[TRACK_TYPE_STANDARD_GAUGE_RAILTYPE_OHLE]:[TRACK_TYPE_STANDARD_GAUGE_RAILTYPE_NONE]],_xlfn.LAMBDA(_xlpm.r,OR(_xlpm.r))),FALSE)</f>
        <v>0</v>
      </c>
      <c r="AF1038" s="43" t="b" cm="1">
        <f t="array" ref="AF1038">IFERROR(_xlfn.BYROW(TRACK_TYPES[[#This Row],[TRACK_TYPE_NARROW_GAUGE_RAILTYPE_OHLE]:[TRACK_TYPE_NARROW_GAUGE_RAILTYPE_NONE]],_xlfn.LAMBDA(_xlpm.r,OR(_xlpm.r))),FALSE)</f>
        <v>0</v>
      </c>
      <c r="AG1038" s="43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>
      <c r="A1039" s="2" t="s">
        <v>3703</v>
      </c>
      <c r="B1039" s="45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43" t="b" cm="1">
        <f t="array" ref="AE1039">IFERROR(_xlfn.BYROW(TRACK_TYPES[[#This Row],[TRACK_TYPE_STANDARD_GAUGE_RAILTYPE_OHLE]:[TRACK_TYPE_STANDARD_GAUGE_RAILTYPE_NONE]],_xlfn.LAMBDA(_xlpm.r,OR(_xlpm.r))),FALSE)</f>
        <v>0</v>
      </c>
      <c r="AF1039" s="43" t="b" cm="1">
        <f t="array" ref="AF1039">IFERROR(_xlfn.BYROW(TRACK_TYPES[[#This Row],[TRACK_TYPE_NARROW_GAUGE_RAILTYPE_OHLE]:[TRACK_TYPE_NARROW_GAUGE_RAILTYPE_NONE]],_xlfn.LAMBDA(_xlpm.r,OR(_xlpm.r))),FALSE)</f>
        <v>1</v>
      </c>
      <c r="AG1039" s="43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>
      <c r="A1040" s="2" t="s">
        <v>3706</v>
      </c>
      <c r="B1040" s="45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43" t="b" cm="1">
        <f t="array" ref="AE1040">IFERROR(_xlfn.BYROW(TRACK_TYPES[[#This Row],[TRACK_TYPE_STANDARD_GAUGE_RAILTYPE_OHLE]:[TRACK_TYPE_STANDARD_GAUGE_RAILTYPE_NONE]],_xlfn.LAMBDA(_xlpm.r,OR(_xlpm.r))),FALSE)</f>
        <v>0</v>
      </c>
      <c r="AF1040" s="43" t="b" cm="1">
        <f t="array" ref="AF1040">IFERROR(_xlfn.BYROW(TRACK_TYPES[[#This Row],[TRACK_TYPE_NARROW_GAUGE_RAILTYPE_OHLE]:[TRACK_TYPE_NARROW_GAUGE_RAILTYPE_NONE]],_xlfn.LAMBDA(_xlpm.r,OR(_xlpm.r))),FALSE)</f>
        <v>1</v>
      </c>
      <c r="AG1040" s="43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>
      <c r="A1041" s="2" t="s">
        <v>3708</v>
      </c>
      <c r="B1041" s="45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43" t="b" cm="1">
        <f t="array" ref="AE1041">IFERROR(_xlfn.BYROW(TRACK_TYPES[[#This Row],[TRACK_TYPE_STANDARD_GAUGE_RAILTYPE_OHLE]:[TRACK_TYPE_STANDARD_GAUGE_RAILTYPE_NONE]],_xlfn.LAMBDA(_xlpm.r,OR(_xlpm.r))),FALSE)</f>
        <v>0</v>
      </c>
      <c r="AF1041" s="43" t="b" cm="1">
        <f t="array" ref="AF1041">IFERROR(_xlfn.BYROW(TRACK_TYPES[[#This Row],[TRACK_TYPE_NARROW_GAUGE_RAILTYPE_OHLE]:[TRACK_TYPE_NARROW_GAUGE_RAILTYPE_NONE]],_xlfn.LAMBDA(_xlpm.r,OR(_xlpm.r))),FALSE)</f>
        <v>1</v>
      </c>
      <c r="AG1041" s="43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>
      <c r="A1042" s="2" t="s">
        <v>3712</v>
      </c>
      <c r="B1042" s="45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43" t="b" cm="1">
        <f t="array" ref="AE1042">IFERROR(_xlfn.BYROW(TRACK_TYPES[[#This Row],[TRACK_TYPE_STANDARD_GAUGE_RAILTYPE_OHLE]:[TRACK_TYPE_STANDARD_GAUGE_RAILTYPE_NONE]],_xlfn.LAMBDA(_xlpm.r,OR(_xlpm.r))),FALSE)</f>
        <v>0</v>
      </c>
      <c r="AF1042" s="43" t="b" cm="1">
        <f t="array" ref="AF1042">IFERROR(_xlfn.BYROW(TRACK_TYPES[[#This Row],[TRACK_TYPE_NARROW_GAUGE_RAILTYPE_OHLE]:[TRACK_TYPE_NARROW_GAUGE_RAILTYPE_NONE]],_xlfn.LAMBDA(_xlpm.r,OR(_xlpm.r))),FALSE)</f>
        <v>1</v>
      </c>
      <c r="AG1042" s="43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>
      <c r="A1043" s="2" t="s">
        <v>3714</v>
      </c>
      <c r="B1043" s="45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43" t="b" cm="1">
        <f t="array" ref="AE1043">IFERROR(_xlfn.BYROW(TRACK_TYPES[[#This Row],[TRACK_TYPE_STANDARD_GAUGE_RAILTYPE_OHLE]:[TRACK_TYPE_STANDARD_GAUGE_RAILTYPE_NONE]],_xlfn.LAMBDA(_xlpm.r,OR(_xlpm.r))),FALSE)</f>
        <v>1</v>
      </c>
      <c r="AF1043" s="43" t="b" cm="1">
        <f t="array" ref="AF1043">IFERROR(_xlfn.BYROW(TRACK_TYPES[[#This Row],[TRACK_TYPE_NARROW_GAUGE_RAILTYPE_OHLE]:[TRACK_TYPE_NARROW_GAUGE_RAILTYPE_NONE]],_xlfn.LAMBDA(_xlpm.r,OR(_xlpm.r))),FALSE)</f>
        <v>1</v>
      </c>
      <c r="AG1043" s="43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>
      <c r="A1044" s="2" t="s">
        <v>3719</v>
      </c>
      <c r="B1044" s="45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43" t="b" cm="1">
        <f t="array" ref="AE1044">IFERROR(_xlfn.BYROW(TRACK_TYPES[[#This Row],[TRACK_TYPE_STANDARD_GAUGE_RAILTYPE_OHLE]:[TRACK_TYPE_STANDARD_GAUGE_RAILTYPE_NONE]],_xlfn.LAMBDA(_xlpm.r,OR(_xlpm.r))),FALSE)</f>
        <v>1</v>
      </c>
      <c r="AF1044" s="43" t="b" cm="1">
        <f t="array" ref="AF1044">IFERROR(_xlfn.BYROW(TRACK_TYPES[[#This Row],[TRACK_TYPE_NARROW_GAUGE_RAILTYPE_OHLE]:[TRACK_TYPE_NARROW_GAUGE_RAILTYPE_NONE]],_xlfn.LAMBDA(_xlpm.r,OR(_xlpm.r))),FALSE)</f>
        <v>0</v>
      </c>
      <c r="AG1044" s="43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>
      <c r="A1045" s="2" t="s">
        <v>3717</v>
      </c>
      <c r="B1045" s="45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43" t="b" cm="1">
        <f t="array" ref="AE1045">IFERROR(_xlfn.BYROW(TRACK_TYPES[[#This Row],[TRACK_TYPE_STANDARD_GAUGE_RAILTYPE_OHLE]:[TRACK_TYPE_STANDARD_GAUGE_RAILTYPE_NONE]],_xlfn.LAMBDA(_xlpm.r,OR(_xlpm.r))),FALSE)</f>
        <v>1</v>
      </c>
      <c r="AF1045" s="43" t="b" cm="1">
        <f t="array" ref="AF1045">IFERROR(_xlfn.BYROW(TRACK_TYPES[[#This Row],[TRACK_TYPE_NARROW_GAUGE_RAILTYPE_OHLE]:[TRACK_TYPE_NARROW_GAUGE_RAILTYPE_NONE]],_xlfn.LAMBDA(_xlpm.r,OR(_xlpm.r))),FALSE)</f>
        <v>0</v>
      </c>
      <c r="AG1045" s="43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42" priority="84" operator="containsText" text=" ">
      <formula>NOT(ISERROR(SEARCH(" ",A893)))</formula>
    </cfRule>
  </conditionalFormatting>
  <conditionalFormatting sqref="A942:A943">
    <cfRule type="containsText" dxfId="41" priority="82" operator="containsText" text=" ">
      <formula>NOT(ISERROR(SEARCH(" ",A942)))</formula>
    </cfRule>
  </conditionalFormatting>
  <conditionalFormatting sqref="A946:A950">
    <cfRule type="containsText" dxfId="40" priority="78" operator="containsText" text=" ">
      <formula>NOT(ISERROR(SEARCH(" ",A946)))</formula>
    </cfRule>
  </conditionalFormatting>
  <conditionalFormatting sqref="A952:A953">
    <cfRule type="containsText" dxfId="39" priority="76" operator="containsText" text=" ">
      <formula>NOT(ISERROR(SEARCH(" ",A952)))</formula>
    </cfRule>
  </conditionalFormatting>
  <conditionalFormatting sqref="A956:A971">
    <cfRule type="containsText" dxfId="38" priority="60" operator="containsText" text=" ">
      <formula>NOT(ISERROR(SEARCH(" ",A956)))</formula>
    </cfRule>
  </conditionalFormatting>
  <conditionalFormatting sqref="A974:A977">
    <cfRule type="containsText" dxfId="37" priority="56" operator="containsText" text=" ">
      <formula>NOT(ISERROR(SEARCH(" ",A974)))</formula>
    </cfRule>
  </conditionalFormatting>
  <conditionalFormatting sqref="A979:A982">
    <cfRule type="containsText" dxfId="36" priority="52" operator="containsText" text=" ">
      <formula>NOT(ISERROR(SEARCH(" ",A979)))</formula>
    </cfRule>
  </conditionalFormatting>
  <conditionalFormatting sqref="A985:A986">
    <cfRule type="containsText" dxfId="35" priority="50" operator="containsText" text=" ">
      <formula>NOT(ISERROR(SEARCH(" ",A985)))</formula>
    </cfRule>
  </conditionalFormatting>
  <conditionalFormatting sqref="A988:A991">
    <cfRule type="containsText" dxfId="34" priority="46" operator="containsText" text=" ">
      <formula>NOT(ISERROR(SEARCH(" ",A988)))</formula>
    </cfRule>
  </conditionalFormatting>
  <conditionalFormatting sqref="A994:A1029">
    <cfRule type="containsText" dxfId="33" priority="10" operator="containsText" text=" ">
      <formula>NOT(ISERROR(SEARCH(" ",A994)))</formula>
    </cfRule>
  </conditionalFormatting>
  <conditionalFormatting sqref="A1031:A1045">
    <cfRule type="containsText" dxfId="32" priority="1" operator="containsText" text=" ">
      <formula>NOT(ISERROR(SEARCH(" ",A1031)))</formula>
    </cfRule>
  </conditionalFormatting>
  <conditionalFormatting sqref="AD1:AD1048576 AH790:AH1048576">
    <cfRule type="cellIs" dxfId="31" priority="139" operator="equal">
      <formula>FALSE</formula>
    </cfRule>
  </conditionalFormatting>
  <conditionalFormatting sqref="AE1:AG1048576">
    <cfRule type="containsText" dxfId="30" priority="22" operator="containsText" text="FALSE">
      <formula>NOT(ISERROR(SEARCH("FALSE",AE1)))</formula>
    </cfRule>
  </conditionalFormatting>
  <conditionalFormatting sqref="AH1">
    <cfRule type="cellIs" dxfId="29" priority="133" operator="equal">
      <formula>FALSE</formula>
    </cfRule>
  </conditionalFormatting>
  <dataValidations count="1">
    <dataValidation type="list" allowBlank="1" showInputMessage="1" showErrorMessage="1" sqref="AM790:AQ1048576 F1006 V979:W994 J1009 K993:O1001 N1003:N1013 V996:V1013 O1003:O1014 V1015 S911:AC911 S913:AC976 C1002:O1002 R1044:R1048576 D450:AC450 C977:AC978 C912:AC912 C979:Q992 C913:Q976 C911:Q911 AF790:AI1048576 C451:AC910 AD2:AD1048576 V1017:V1018 R911:R1021 AA979:AC1048576 Z979:Z1021 X979:Y1023 P993:Q1023 N1015:N1023 S979:U1023 K1003:M1023 O1016:O1023 W996:W1023 V1020:V1023 C1024:Z1024 C2:AC449 Z1025:Z1029 K1025:Q1048576 Z1044:Z1048576 R1025:R1029 R1031:R1042 Z1031:Z1042 V1045:W1048576 X1025:Y1048576 V1025:W1043 S1025:S1048576 U1025:U1048576 T1025:T1044 T1046:T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8"/>
  <sheetViews>
    <sheetView zoomScale="85" zoomScaleNormal="85" workbookViewId="0">
      <pane xSplit="1" ySplit="1" topLeftCell="B1013" activePane="bottomRight" state="frozen"/>
      <selection pane="topRight" activeCell="B1" sqref="B1"/>
      <selection pane="bottomLeft" activeCell="A2" sqref="A2"/>
      <selection pane="bottomRight" activeCell="A1044" sqref="A1044:A1045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7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6" t="s">
        <v>55</v>
      </c>
      <c r="C1" s="13" t="s">
        <v>56</v>
      </c>
      <c r="D1" s="3" t="s">
        <v>1967</v>
      </c>
      <c r="E1" s="3" t="s">
        <v>57</v>
      </c>
      <c r="F1" s="3" t="s">
        <v>1752</v>
      </c>
      <c r="G1" s="1" t="s">
        <v>58</v>
      </c>
      <c r="H1" s="6" t="s">
        <v>76</v>
      </c>
      <c r="I1" s="5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7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7">
        <v>0</v>
      </c>
      <c r="I3" t="s">
        <v>78</v>
      </c>
    </row>
    <row r="4" spans="1:10">
      <c r="A4" s="2" t="s">
        <v>2729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7">
        <v>-3</v>
      </c>
      <c r="I4" t="s">
        <v>78</v>
      </c>
    </row>
    <row r="5" spans="1:10">
      <c r="A5" s="2" t="s">
        <v>2730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7">
        <v>-3</v>
      </c>
      <c r="I5" t="s">
        <v>78</v>
      </c>
    </row>
    <row r="6" spans="1:10">
      <c r="A6" s="2" t="s">
        <v>2731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7">
        <v>0</v>
      </c>
      <c r="I6" t="s">
        <v>78</v>
      </c>
    </row>
    <row r="7" spans="1:10">
      <c r="A7" s="2" t="s">
        <v>2732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7">
        <v>0</v>
      </c>
      <c r="I7" t="s">
        <v>78</v>
      </c>
    </row>
    <row r="8" spans="1:10">
      <c r="A8" s="2" t="s">
        <v>2733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7">
        <v>0</v>
      </c>
      <c r="I8" t="s">
        <v>78</v>
      </c>
    </row>
    <row r="9" spans="1:10">
      <c r="A9" s="2" t="s">
        <v>2734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7">
        <v>0</v>
      </c>
      <c r="I9" t="s">
        <v>78</v>
      </c>
    </row>
    <row r="10" spans="1:10">
      <c r="A10" s="2" t="s">
        <v>2735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7">
        <v>0</v>
      </c>
      <c r="I10" t="s">
        <v>78</v>
      </c>
    </row>
    <row r="11" spans="1:10">
      <c r="A11" s="2" t="s">
        <v>2736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7">
        <v>-3</v>
      </c>
      <c r="I11" t="s">
        <v>78</v>
      </c>
    </row>
    <row r="12" spans="1:10">
      <c r="A12" s="2" t="s">
        <v>2737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7">
        <v>-3</v>
      </c>
      <c r="I12" t="s">
        <v>78</v>
      </c>
    </row>
    <row r="13" spans="1:10">
      <c r="A13" s="2" t="s">
        <v>2738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7">
        <v>-3</v>
      </c>
      <c r="I13" t="s">
        <v>78</v>
      </c>
    </row>
    <row r="14" spans="1:10">
      <c r="A14" s="2" t="s">
        <v>2739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7">
        <v>-3</v>
      </c>
      <c r="I14" t="s">
        <v>78</v>
      </c>
    </row>
    <row r="15" spans="1:10">
      <c r="A15" s="2" t="s">
        <v>2740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7">
        <v>-3</v>
      </c>
      <c r="I15" t="s">
        <v>78</v>
      </c>
    </row>
    <row r="16" spans="1:10">
      <c r="A16" s="2" t="s">
        <v>2741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7">
        <v>-3</v>
      </c>
      <c r="I16" t="s">
        <v>78</v>
      </c>
    </row>
    <row r="17" spans="1:9">
      <c r="A17" s="2" t="s">
        <v>2742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7">
        <v>-3</v>
      </c>
      <c r="I17" t="s">
        <v>78</v>
      </c>
    </row>
    <row r="18" spans="1:9">
      <c r="A18" s="2" t="s">
        <v>2743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7">
        <v>-3</v>
      </c>
      <c r="I18" t="s">
        <v>78</v>
      </c>
    </row>
    <row r="19" spans="1:9">
      <c r="A19" s="2" t="s">
        <v>2744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7">
        <v>-3</v>
      </c>
      <c r="I19" t="s">
        <v>78</v>
      </c>
    </row>
    <row r="20" spans="1:9">
      <c r="A20" s="2" t="s">
        <v>2745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7">
        <v>-3</v>
      </c>
      <c r="I20" t="s">
        <v>78</v>
      </c>
    </row>
    <row r="21" spans="1:9">
      <c r="A21" s="2" t="s">
        <v>2746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7">
        <v>-3</v>
      </c>
      <c r="I21" t="s">
        <v>78</v>
      </c>
    </row>
    <row r="22" spans="1:9">
      <c r="A22" s="2" t="s">
        <v>2747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7">
        <v>-3</v>
      </c>
      <c r="I22" t="s">
        <v>78</v>
      </c>
    </row>
    <row r="23" spans="1:9">
      <c r="A23" s="2" t="s">
        <v>2748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7">
        <v>-3</v>
      </c>
      <c r="I23" t="s">
        <v>78</v>
      </c>
    </row>
    <row r="24" spans="1:9">
      <c r="A24" s="2" t="s">
        <v>2749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7">
        <v>-3</v>
      </c>
      <c r="I24" t="s">
        <v>78</v>
      </c>
    </row>
    <row r="25" spans="1:9">
      <c r="A25" s="2" t="s">
        <v>2750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7">
        <v>-3</v>
      </c>
      <c r="I25" t="s">
        <v>78</v>
      </c>
    </row>
    <row r="26" spans="1:9">
      <c r="A26" s="2" t="s">
        <v>2751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7">
        <v>-3</v>
      </c>
      <c r="I26" t="s">
        <v>78</v>
      </c>
    </row>
    <row r="27" spans="1:9">
      <c r="A27" s="2" t="s">
        <v>2752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7">
        <v>-3</v>
      </c>
      <c r="I27" t="s">
        <v>78</v>
      </c>
    </row>
    <row r="28" spans="1:9">
      <c r="A28" s="2" t="s">
        <v>2753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7">
        <v>0</v>
      </c>
      <c r="I28" t="s">
        <v>78</v>
      </c>
    </row>
    <row r="29" spans="1:9">
      <c r="A29" s="2" t="s">
        <v>2754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7">
        <v>0</v>
      </c>
      <c r="I29" t="s">
        <v>78</v>
      </c>
    </row>
    <row r="30" spans="1:9">
      <c r="A30" s="2" t="s">
        <v>2755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7">
        <v>0</v>
      </c>
      <c r="I30" t="s">
        <v>78</v>
      </c>
    </row>
    <row r="31" spans="1:9">
      <c r="A31" s="2" t="s">
        <v>2756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7">
        <v>0</v>
      </c>
      <c r="I31" t="s">
        <v>78</v>
      </c>
    </row>
    <row r="32" spans="1:9">
      <c r="A32" s="2" t="s">
        <v>2757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7">
        <v>0</v>
      </c>
      <c r="I32" t="s">
        <v>78</v>
      </c>
    </row>
    <row r="33" spans="1:9">
      <c r="A33" s="2" t="s">
        <v>2758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7">
        <v>0</v>
      </c>
      <c r="I33" t="s">
        <v>78</v>
      </c>
    </row>
    <row r="34" spans="1:9">
      <c r="A34" s="2" t="s">
        <v>2759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7">
        <v>0</v>
      </c>
      <c r="I34" t="s">
        <v>78</v>
      </c>
    </row>
    <row r="35" spans="1:9">
      <c r="A35" s="2" t="s">
        <v>2760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7">
        <v>0</v>
      </c>
      <c r="I35" t="s">
        <v>78</v>
      </c>
    </row>
    <row r="36" spans="1:9">
      <c r="A36" s="2" t="s">
        <v>2761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7">
        <v>0</v>
      </c>
      <c r="I36" t="s">
        <v>78</v>
      </c>
    </row>
    <row r="37" spans="1:9">
      <c r="A37" s="2" t="s">
        <v>2762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7">
        <v>0</v>
      </c>
      <c r="I37" t="s">
        <v>78</v>
      </c>
    </row>
    <row r="38" spans="1:9">
      <c r="A38" s="2" t="s">
        <v>2763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7">
        <v>0</v>
      </c>
      <c r="I38" t="s">
        <v>78</v>
      </c>
    </row>
    <row r="39" spans="1:9">
      <c r="A39" s="2" t="s">
        <v>2764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7">
        <v>0</v>
      </c>
      <c r="I39" t="s">
        <v>78</v>
      </c>
    </row>
    <row r="40" spans="1:9">
      <c r="A40" s="2" t="s">
        <v>2765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7">
        <v>0</v>
      </c>
      <c r="I40" t="s">
        <v>78</v>
      </c>
    </row>
    <row r="41" spans="1:9">
      <c r="A41" s="2" t="s">
        <v>2766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7">
        <v>0</v>
      </c>
      <c r="I41" t="s">
        <v>78</v>
      </c>
    </row>
    <row r="42" spans="1:9">
      <c r="A42" s="2" t="s">
        <v>2767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7">
        <v>0</v>
      </c>
      <c r="I42" t="s">
        <v>78</v>
      </c>
    </row>
    <row r="43" spans="1:9">
      <c r="A43" s="2" t="s">
        <v>2768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7">
        <v>0</v>
      </c>
      <c r="I43" t="s">
        <v>78</v>
      </c>
    </row>
    <row r="44" spans="1:9">
      <c r="A44" s="2" t="s">
        <v>2769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7">
        <v>0</v>
      </c>
      <c r="I44" t="s">
        <v>78</v>
      </c>
    </row>
    <row r="45" spans="1:9">
      <c r="A45" s="2" t="s">
        <v>2770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7">
        <v>0</v>
      </c>
      <c r="I45" t="s">
        <v>78</v>
      </c>
    </row>
    <row r="46" spans="1:9">
      <c r="A46" s="2" t="s">
        <v>2771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7">
        <v>0</v>
      </c>
      <c r="I46" t="s">
        <v>78</v>
      </c>
    </row>
    <row r="47" spans="1:9">
      <c r="A47" s="2" t="s">
        <v>2772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7">
        <v>0</v>
      </c>
      <c r="I47" t="s">
        <v>78</v>
      </c>
    </row>
    <row r="48" spans="1:9">
      <c r="A48" s="2" t="s">
        <v>3536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7">
        <v>0</v>
      </c>
      <c r="I48" t="s">
        <v>78</v>
      </c>
    </row>
    <row r="49" spans="1:9">
      <c r="A49" s="2" t="s">
        <v>2773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7">
        <v>0</v>
      </c>
      <c r="I49" t="s">
        <v>78</v>
      </c>
    </row>
    <row r="50" spans="1:9">
      <c r="A50" s="2" t="s">
        <v>2774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7">
        <v>0</v>
      </c>
      <c r="I50" t="s">
        <v>78</v>
      </c>
    </row>
    <row r="51" spans="1:9">
      <c r="A51" s="2" t="s">
        <v>2775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7">
        <v>0</v>
      </c>
      <c r="I51" t="s">
        <v>78</v>
      </c>
    </row>
    <row r="52" spans="1:9">
      <c r="A52" s="2" t="s">
        <v>2776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7">
        <v>-3</v>
      </c>
      <c r="I52" t="s">
        <v>78</v>
      </c>
    </row>
    <row r="53" spans="1:9">
      <c r="A53" s="2" t="s">
        <v>3553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7">
        <v>-3</v>
      </c>
      <c r="I53" t="s">
        <v>78</v>
      </c>
    </row>
    <row r="54" spans="1:9">
      <c r="A54" s="2" t="s">
        <v>2777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7">
        <v>0</v>
      </c>
      <c r="I54" t="s">
        <v>78</v>
      </c>
    </row>
    <row r="55" spans="1:9">
      <c r="A55" s="2" t="s">
        <v>2778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7">
        <v>-3</v>
      </c>
      <c r="I55" t="s">
        <v>78</v>
      </c>
    </row>
    <row r="56" spans="1:9">
      <c r="A56" s="2" t="s">
        <v>2779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7">
        <v>0</v>
      </c>
      <c r="I56" t="s">
        <v>78</v>
      </c>
    </row>
    <row r="57" spans="1:9">
      <c r="A57" s="2" t="s">
        <v>2780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7">
        <v>0</v>
      </c>
      <c r="I57" t="s">
        <v>78</v>
      </c>
    </row>
    <row r="58" spans="1:9">
      <c r="A58" s="2" t="s">
        <v>2781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7">
        <v>-3</v>
      </c>
      <c r="I58" t="s">
        <v>78</v>
      </c>
    </row>
    <row r="59" spans="1:9">
      <c r="A59" s="2" t="s">
        <v>2782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7">
        <v>0</v>
      </c>
      <c r="I59" t="s">
        <v>78</v>
      </c>
    </row>
    <row r="60" spans="1:9">
      <c r="A60" s="2" t="s">
        <v>2783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7">
        <v>0</v>
      </c>
      <c r="I60" t="s">
        <v>78</v>
      </c>
    </row>
    <row r="61" spans="1:9">
      <c r="A61" s="2" t="s">
        <v>2784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7">
        <v>0</v>
      </c>
      <c r="I61" t="s">
        <v>78</v>
      </c>
    </row>
    <row r="62" spans="1:9">
      <c r="A62" s="2" t="s">
        <v>2785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7">
        <v>-3</v>
      </c>
      <c r="I62" t="s">
        <v>78</v>
      </c>
    </row>
    <row r="63" spans="1:9">
      <c r="A63" s="2" t="s">
        <v>2786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7">
        <v>0</v>
      </c>
      <c r="I63" t="s">
        <v>78</v>
      </c>
    </row>
    <row r="64" spans="1:9">
      <c r="A64" s="2" t="s">
        <v>2787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7">
        <v>0</v>
      </c>
      <c r="I64" t="s">
        <v>78</v>
      </c>
    </row>
    <row r="65" spans="1:9">
      <c r="A65" s="2" t="s">
        <v>2788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7">
        <v>0</v>
      </c>
      <c r="I65" t="s">
        <v>78</v>
      </c>
    </row>
    <row r="66" spans="1:9">
      <c r="A66" s="2" t="s">
        <v>2789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7">
        <v>-3</v>
      </c>
      <c r="I66" t="s">
        <v>78</v>
      </c>
    </row>
    <row r="67" spans="1:9">
      <c r="A67" s="2" t="s">
        <v>2790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7">
        <v>0</v>
      </c>
      <c r="I67" t="s">
        <v>78</v>
      </c>
    </row>
    <row r="68" spans="1:9">
      <c r="A68" s="2" t="s">
        <v>2791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7">
        <v>-3</v>
      </c>
      <c r="I68" t="s">
        <v>78</v>
      </c>
    </row>
    <row r="69" spans="1:9">
      <c r="A69" s="2" t="s">
        <v>2792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7">
        <v>0</v>
      </c>
      <c r="I69" t="s">
        <v>78</v>
      </c>
    </row>
    <row r="70" spans="1:9">
      <c r="A70" s="2" t="s">
        <v>2793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7">
        <v>0</v>
      </c>
      <c r="I70" t="s">
        <v>78</v>
      </c>
    </row>
    <row r="71" spans="1:9">
      <c r="A71" s="2" t="s">
        <v>2794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7">
        <v>-3</v>
      </c>
      <c r="I71" t="s">
        <v>78</v>
      </c>
    </row>
    <row r="72" spans="1:9">
      <c r="A72" s="2" t="s">
        <v>2795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7">
        <v>-3</v>
      </c>
      <c r="I72" t="s">
        <v>78</v>
      </c>
    </row>
    <row r="73" spans="1:9">
      <c r="A73" s="2" t="s">
        <v>2796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7">
        <v>-3</v>
      </c>
      <c r="I73" t="s">
        <v>78</v>
      </c>
    </row>
    <row r="74" spans="1:9">
      <c r="A74" s="2" t="s">
        <v>2797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7">
        <v>0</v>
      </c>
      <c r="I74" t="s">
        <v>78</v>
      </c>
    </row>
    <row r="75" spans="1:9">
      <c r="A75" s="2" t="s">
        <v>2798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7">
        <v>0</v>
      </c>
      <c r="I75" t="s">
        <v>78</v>
      </c>
    </row>
    <row r="76" spans="1:9">
      <c r="A76" s="2" t="s">
        <v>2799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7">
        <v>0</v>
      </c>
      <c r="I76" t="s">
        <v>78</v>
      </c>
    </row>
    <row r="77" spans="1:9">
      <c r="A77" s="2" t="s">
        <v>2800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7">
        <v>0</v>
      </c>
      <c r="I77" t="s">
        <v>78</v>
      </c>
    </row>
    <row r="78" spans="1:9">
      <c r="A78" s="2" t="s">
        <v>3532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7">
        <v>-3</v>
      </c>
      <c r="I78" t="s">
        <v>78</v>
      </c>
    </row>
    <row r="79" spans="1:9">
      <c r="A79" s="2" t="s">
        <v>2801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7">
        <v>-3</v>
      </c>
      <c r="I79" t="s">
        <v>78</v>
      </c>
    </row>
    <row r="80" spans="1:9">
      <c r="A80" s="2" t="s">
        <v>2802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7">
        <v>0</v>
      </c>
      <c r="I80" t="s">
        <v>78</v>
      </c>
    </row>
    <row r="81" spans="1:9">
      <c r="A81" s="2" t="s">
        <v>2803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7">
        <v>0</v>
      </c>
      <c r="I81" t="s">
        <v>78</v>
      </c>
    </row>
    <row r="82" spans="1:9">
      <c r="A82" s="2" t="s">
        <v>3555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7">
        <v>-3</v>
      </c>
      <c r="I82" t="s">
        <v>78</v>
      </c>
    </row>
    <row r="83" spans="1:9">
      <c r="A83" s="2" t="s">
        <v>2804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7">
        <v>0</v>
      </c>
      <c r="I83" t="s">
        <v>78</v>
      </c>
    </row>
    <row r="84" spans="1:9">
      <c r="A84" s="2" t="s">
        <v>2805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7">
        <v>-3</v>
      </c>
      <c r="I84" t="s">
        <v>78</v>
      </c>
    </row>
    <row r="85" spans="1:9">
      <c r="A85" s="2" t="s">
        <v>2806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7">
        <v>0</v>
      </c>
      <c r="I85" t="s">
        <v>78</v>
      </c>
    </row>
    <row r="86" spans="1:9">
      <c r="A86" s="2" t="s">
        <v>2807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7">
        <v>0</v>
      </c>
      <c r="I86" t="s">
        <v>78</v>
      </c>
    </row>
    <row r="87" spans="1:9">
      <c r="A87" s="2" t="s">
        <v>2808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7">
        <v>0</v>
      </c>
      <c r="I87" t="s">
        <v>78</v>
      </c>
    </row>
    <row r="88" spans="1:9">
      <c r="A88" s="2" t="s">
        <v>2809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7">
        <v>0</v>
      </c>
      <c r="I88" t="s">
        <v>78</v>
      </c>
    </row>
    <row r="89" spans="1:9">
      <c r="A89" s="2" t="s">
        <v>2810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7">
        <v>-3</v>
      </c>
      <c r="I89" t="s">
        <v>78</v>
      </c>
    </row>
    <row r="90" spans="1:9">
      <c r="A90" s="2" t="s">
        <v>2811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7">
        <v>0</v>
      </c>
      <c r="I90" t="s">
        <v>78</v>
      </c>
    </row>
    <row r="91" spans="1:9">
      <c r="A91" s="2" t="s">
        <v>2812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7">
        <v>0</v>
      </c>
      <c r="I91" t="s">
        <v>78</v>
      </c>
    </row>
    <row r="92" spans="1:9">
      <c r="A92" s="2" t="s">
        <v>2813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7">
        <v>-3</v>
      </c>
      <c r="I92" t="s">
        <v>78</v>
      </c>
    </row>
    <row r="93" spans="1:9">
      <c r="A93" s="2" t="s">
        <v>2814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7">
        <v>0</v>
      </c>
      <c r="I93" t="s">
        <v>78</v>
      </c>
    </row>
    <row r="94" spans="1:9">
      <c r="A94" s="2" t="s">
        <v>2815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7">
        <v>0</v>
      </c>
      <c r="I94" t="s">
        <v>78</v>
      </c>
    </row>
    <row r="95" spans="1:9">
      <c r="A95" s="2" t="s">
        <v>2816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7">
        <v>0</v>
      </c>
      <c r="I95" t="s">
        <v>78</v>
      </c>
    </row>
    <row r="96" spans="1:9">
      <c r="A96" s="2" t="s">
        <v>2817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7">
        <v>0</v>
      </c>
      <c r="I96" t="s">
        <v>78</v>
      </c>
    </row>
    <row r="97" spans="1:9">
      <c r="A97" s="2" t="s">
        <v>2818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7">
        <v>0</v>
      </c>
      <c r="I97" t="s">
        <v>78</v>
      </c>
    </row>
    <row r="98" spans="1:9">
      <c r="A98" s="2" t="s">
        <v>2819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7">
        <v>-3</v>
      </c>
      <c r="I98" t="s">
        <v>78</v>
      </c>
    </row>
    <row r="99" spans="1:9">
      <c r="A99" s="2" t="s">
        <v>2820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7">
        <v>-3</v>
      </c>
      <c r="I99" t="s">
        <v>78</v>
      </c>
    </row>
    <row r="100" spans="1:9">
      <c r="A100" s="2" t="s">
        <v>2821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7">
        <v>0</v>
      </c>
      <c r="I100" t="s">
        <v>78</v>
      </c>
    </row>
    <row r="101" spans="1:9">
      <c r="A101" s="2" t="s">
        <v>2822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7">
        <v>0</v>
      </c>
      <c r="I101" t="s">
        <v>78</v>
      </c>
    </row>
    <row r="102" spans="1:9">
      <c r="A102" s="2" t="s">
        <v>2823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7">
        <v>0</v>
      </c>
      <c r="I102" t="s">
        <v>78</v>
      </c>
    </row>
    <row r="103" spans="1:9">
      <c r="A103" s="2" t="s">
        <v>2824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7">
        <v>0</v>
      </c>
      <c r="I103" t="s">
        <v>78</v>
      </c>
    </row>
    <row r="104" spans="1:9">
      <c r="A104" s="2" t="s">
        <v>2825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7">
        <v>0</v>
      </c>
      <c r="I104" t="s">
        <v>78</v>
      </c>
    </row>
    <row r="105" spans="1:9">
      <c r="A105" s="2" t="s">
        <v>2826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7">
        <v>0</v>
      </c>
      <c r="I105" t="s">
        <v>78</v>
      </c>
    </row>
    <row r="106" spans="1:9">
      <c r="A106" s="2" t="s">
        <v>2827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7">
        <v>0</v>
      </c>
      <c r="I106" t="s">
        <v>78</v>
      </c>
    </row>
    <row r="107" spans="1:9">
      <c r="A107" s="2" t="s">
        <v>2828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7">
        <v>0</v>
      </c>
      <c r="I107" t="s">
        <v>78</v>
      </c>
    </row>
    <row r="108" spans="1:9">
      <c r="A108" s="2" t="s">
        <v>2829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7">
        <v>0</v>
      </c>
      <c r="I108" t="s">
        <v>78</v>
      </c>
    </row>
    <row r="109" spans="1:9">
      <c r="A109" s="2" t="s">
        <v>2830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7">
        <v>0</v>
      </c>
      <c r="I109" t="s">
        <v>78</v>
      </c>
    </row>
    <row r="110" spans="1:9">
      <c r="A110" s="2" t="s">
        <v>2831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7">
        <v>0</v>
      </c>
      <c r="I110" t="s">
        <v>78</v>
      </c>
    </row>
    <row r="111" spans="1:9">
      <c r="A111" s="2" t="s">
        <v>2832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7">
        <v>0</v>
      </c>
      <c r="I111" t="s">
        <v>78</v>
      </c>
    </row>
    <row r="112" spans="1:9">
      <c r="A112" s="2" t="s">
        <v>2833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7">
        <v>0</v>
      </c>
      <c r="I112" t="s">
        <v>78</v>
      </c>
    </row>
    <row r="113" spans="1:9">
      <c r="A113" s="2" t="s">
        <v>2834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7">
        <v>0</v>
      </c>
      <c r="I113" t="s">
        <v>78</v>
      </c>
    </row>
    <row r="114" spans="1:9">
      <c r="A114" s="2" t="s">
        <v>2835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7">
        <v>0</v>
      </c>
      <c r="I114" t="s">
        <v>78</v>
      </c>
    </row>
    <row r="115" spans="1:9">
      <c r="A115" s="2" t="s">
        <v>2836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7">
        <v>0</v>
      </c>
      <c r="I115" t="s">
        <v>78</v>
      </c>
    </row>
    <row r="116" spans="1:9">
      <c r="A116" s="2" t="s">
        <v>2837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7">
        <v>0</v>
      </c>
      <c r="I116" t="s">
        <v>78</v>
      </c>
    </row>
    <row r="117" spans="1:9">
      <c r="A117" s="2" t="s">
        <v>2838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7">
        <v>0</v>
      </c>
      <c r="I117" t="s">
        <v>78</v>
      </c>
    </row>
    <row r="118" spans="1:9">
      <c r="A118" s="2" t="s">
        <v>2839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7">
        <v>0</v>
      </c>
      <c r="I118" t="s">
        <v>78</v>
      </c>
    </row>
    <row r="119" spans="1:9">
      <c r="A119" s="2" t="s">
        <v>2840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7">
        <v>0</v>
      </c>
      <c r="I119" t="s">
        <v>78</v>
      </c>
    </row>
    <row r="120" spans="1:9">
      <c r="A120" s="2" t="s">
        <v>2841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7">
        <v>0</v>
      </c>
      <c r="I120" t="s">
        <v>78</v>
      </c>
    </row>
    <row r="121" spans="1:9">
      <c r="A121" s="2" t="s">
        <v>2842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7">
        <v>0</v>
      </c>
      <c r="I121" t="s">
        <v>78</v>
      </c>
    </row>
    <row r="122" spans="1:9">
      <c r="A122" s="2" t="s">
        <v>2843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7">
        <v>0</v>
      </c>
      <c r="I122" t="s">
        <v>78</v>
      </c>
    </row>
    <row r="123" spans="1:9">
      <c r="A123" s="2" t="s">
        <v>2844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7">
        <v>0</v>
      </c>
      <c r="I123" t="s">
        <v>78</v>
      </c>
    </row>
    <row r="124" spans="1:9">
      <c r="A124" s="2" t="s">
        <v>3537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7">
        <v>0</v>
      </c>
      <c r="I124" t="s">
        <v>78</v>
      </c>
    </row>
    <row r="125" spans="1:9">
      <c r="A125" s="2" t="s">
        <v>2845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7">
        <v>0</v>
      </c>
      <c r="I125" t="s">
        <v>78</v>
      </c>
    </row>
    <row r="126" spans="1:9">
      <c r="A126" s="2" t="s">
        <v>2846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7">
        <v>0</v>
      </c>
      <c r="I126" t="s">
        <v>78</v>
      </c>
    </row>
    <row r="127" spans="1:9">
      <c r="A127" s="2" t="s">
        <v>2847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7">
        <v>0</v>
      </c>
      <c r="I127" t="s">
        <v>78</v>
      </c>
    </row>
    <row r="128" spans="1:9">
      <c r="A128" s="2" t="s">
        <v>2848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7">
        <v>0</v>
      </c>
      <c r="I128" t="s">
        <v>78</v>
      </c>
    </row>
    <row r="129" spans="1:9">
      <c r="A129" s="2" t="s">
        <v>2849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7">
        <v>0</v>
      </c>
      <c r="I129" t="s">
        <v>78</v>
      </c>
    </row>
    <row r="130" spans="1:9">
      <c r="A130" s="2" t="s">
        <v>2850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7">
        <v>0</v>
      </c>
      <c r="I130" t="s">
        <v>78</v>
      </c>
    </row>
    <row r="131" spans="1:9">
      <c r="A131" s="2" t="s">
        <v>2851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7">
        <v>0</v>
      </c>
      <c r="I131" t="s">
        <v>78</v>
      </c>
    </row>
    <row r="132" spans="1:9">
      <c r="A132" s="2" t="s">
        <v>2852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7">
        <v>0</v>
      </c>
      <c r="I132" t="s">
        <v>78</v>
      </c>
    </row>
    <row r="133" spans="1:9">
      <c r="A133" s="2" t="s">
        <v>2853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7">
        <v>0</v>
      </c>
      <c r="I133" t="s">
        <v>78</v>
      </c>
    </row>
    <row r="134" spans="1:9">
      <c r="A134" s="2" t="s">
        <v>2854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7">
        <v>0</v>
      </c>
      <c r="I134" t="s">
        <v>78</v>
      </c>
    </row>
    <row r="135" spans="1:9">
      <c r="A135" s="2" t="s">
        <v>2855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7">
        <v>0</v>
      </c>
      <c r="I135" t="s">
        <v>78</v>
      </c>
    </row>
    <row r="136" spans="1:9">
      <c r="A136" s="2" t="s">
        <v>2856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7">
        <v>0</v>
      </c>
      <c r="I136" t="s">
        <v>78</v>
      </c>
    </row>
    <row r="137" spans="1:9">
      <c r="A137" s="2" t="s">
        <v>2857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7">
        <v>0</v>
      </c>
      <c r="I137" t="s">
        <v>78</v>
      </c>
    </row>
    <row r="138" spans="1:9">
      <c r="A138" s="2" t="s">
        <v>2858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7">
        <v>0</v>
      </c>
      <c r="I138" t="s">
        <v>78</v>
      </c>
    </row>
    <row r="139" spans="1:9">
      <c r="A139" s="2" t="s">
        <v>2859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7">
        <v>0</v>
      </c>
      <c r="I139" t="s">
        <v>78</v>
      </c>
    </row>
    <row r="140" spans="1:9">
      <c r="A140" s="2" t="s">
        <v>2860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7">
        <v>0</v>
      </c>
      <c r="I140" t="s">
        <v>78</v>
      </c>
    </row>
    <row r="141" spans="1:9">
      <c r="A141" s="2" t="s">
        <v>2861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7">
        <v>0</v>
      </c>
      <c r="I141" t="s">
        <v>78</v>
      </c>
    </row>
    <row r="142" spans="1:9">
      <c r="A142" s="2" t="s">
        <v>2862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7">
        <v>0</v>
      </c>
      <c r="I142" t="s">
        <v>78</v>
      </c>
    </row>
    <row r="143" spans="1:9">
      <c r="A143" s="2" t="s">
        <v>2863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7">
        <v>0</v>
      </c>
      <c r="I143" t="s">
        <v>78</v>
      </c>
    </row>
    <row r="144" spans="1:9">
      <c r="A144" s="2" t="s">
        <v>2864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7">
        <v>0</v>
      </c>
      <c r="I144" t="s">
        <v>78</v>
      </c>
    </row>
    <row r="145" spans="1:9">
      <c r="A145" s="2" t="s">
        <v>2865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7">
        <v>0</v>
      </c>
      <c r="I145" t="s">
        <v>78</v>
      </c>
    </row>
    <row r="146" spans="1:9">
      <c r="A146" s="2" t="s">
        <v>2866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7">
        <v>0</v>
      </c>
      <c r="I146" t="s">
        <v>78</v>
      </c>
    </row>
    <row r="147" spans="1:9">
      <c r="A147" s="2" t="s">
        <v>2867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7">
        <v>0</v>
      </c>
      <c r="I147" t="s">
        <v>78</v>
      </c>
    </row>
    <row r="148" spans="1:9">
      <c r="A148" s="2" t="s">
        <v>2868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7">
        <v>0</v>
      </c>
      <c r="I148" t="s">
        <v>78</v>
      </c>
    </row>
    <row r="149" spans="1:9">
      <c r="A149" s="2" t="s">
        <v>2869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7">
        <v>0</v>
      </c>
      <c r="I149" t="s">
        <v>78</v>
      </c>
    </row>
    <row r="150" spans="1:9">
      <c r="A150" s="2" t="s">
        <v>2870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7">
        <v>0</v>
      </c>
      <c r="I150" t="s">
        <v>78</v>
      </c>
    </row>
    <row r="151" spans="1:9">
      <c r="A151" s="2" t="s">
        <v>2871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7">
        <v>0</v>
      </c>
      <c r="I151" t="s">
        <v>78</v>
      </c>
    </row>
    <row r="152" spans="1:9">
      <c r="A152" s="2" t="s">
        <v>2872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7">
        <v>0</v>
      </c>
      <c r="I152" t="s">
        <v>78</v>
      </c>
    </row>
    <row r="153" spans="1:9">
      <c r="A153" s="2" t="s">
        <v>2873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7">
        <v>0</v>
      </c>
      <c r="I153" t="s">
        <v>78</v>
      </c>
    </row>
    <row r="154" spans="1:9">
      <c r="A154" s="2" t="s">
        <v>2874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7">
        <v>0</v>
      </c>
      <c r="I154" t="s">
        <v>78</v>
      </c>
    </row>
    <row r="155" spans="1:9">
      <c r="A155" s="2" t="s">
        <v>2875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7">
        <v>0</v>
      </c>
      <c r="I155" t="s">
        <v>78</v>
      </c>
    </row>
    <row r="156" spans="1:9">
      <c r="A156" s="2" t="s">
        <v>3557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7">
        <v>0</v>
      </c>
      <c r="I156" t="s">
        <v>78</v>
      </c>
    </row>
    <row r="157" spans="1:9">
      <c r="A157" s="2" t="s">
        <v>2876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7">
        <v>0</v>
      </c>
      <c r="I157" t="s">
        <v>78</v>
      </c>
    </row>
    <row r="158" spans="1:9">
      <c r="A158" s="2" t="s">
        <v>2877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7">
        <v>0</v>
      </c>
      <c r="I158" t="s">
        <v>78</v>
      </c>
    </row>
    <row r="159" spans="1:9">
      <c r="A159" s="2" t="s">
        <v>2878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7">
        <v>0</v>
      </c>
      <c r="I159" t="s">
        <v>78</v>
      </c>
    </row>
    <row r="160" spans="1:9">
      <c r="A160" s="2" t="s">
        <v>2879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7">
        <v>0</v>
      </c>
      <c r="I160" t="s">
        <v>78</v>
      </c>
    </row>
    <row r="161" spans="1:9">
      <c r="A161" s="2" t="s">
        <v>2880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7">
        <v>0</v>
      </c>
      <c r="I161" t="s">
        <v>78</v>
      </c>
    </row>
    <row r="162" spans="1:9">
      <c r="A162" s="2" t="s">
        <v>2881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7">
        <v>0</v>
      </c>
      <c r="I162" t="s">
        <v>78</v>
      </c>
    </row>
    <row r="163" spans="1:9">
      <c r="A163" s="2" t="s">
        <v>2882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7">
        <v>0</v>
      </c>
      <c r="I163" t="s">
        <v>78</v>
      </c>
    </row>
    <row r="164" spans="1:9">
      <c r="A164" s="2" t="s">
        <v>2883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7">
        <v>0</v>
      </c>
      <c r="I164" t="s">
        <v>78</v>
      </c>
    </row>
    <row r="165" spans="1:9">
      <c r="A165" s="2" t="s">
        <v>2884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7">
        <v>0</v>
      </c>
      <c r="I165" t="s">
        <v>78</v>
      </c>
    </row>
    <row r="166" spans="1:9">
      <c r="A166" s="2" t="s">
        <v>2885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7">
        <v>0</v>
      </c>
      <c r="I166" t="s">
        <v>78</v>
      </c>
    </row>
    <row r="167" spans="1:9">
      <c r="A167" s="2" t="s">
        <v>2886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7">
        <v>0</v>
      </c>
      <c r="I167" t="s">
        <v>78</v>
      </c>
    </row>
    <row r="168" spans="1:9">
      <c r="A168" s="2" t="s">
        <v>2887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7">
        <v>0</v>
      </c>
      <c r="I168" t="s">
        <v>78</v>
      </c>
    </row>
    <row r="169" spans="1:9">
      <c r="A169" s="2" t="s">
        <v>2888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7">
        <v>0</v>
      </c>
      <c r="I169" t="s">
        <v>78</v>
      </c>
    </row>
    <row r="170" spans="1:9">
      <c r="A170" s="2" t="s">
        <v>2889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7">
        <v>0</v>
      </c>
      <c r="I170" t="s">
        <v>78</v>
      </c>
    </row>
    <row r="171" spans="1:9">
      <c r="A171" s="2" t="s">
        <v>2890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7">
        <v>0</v>
      </c>
      <c r="I171" t="s">
        <v>78</v>
      </c>
    </row>
    <row r="172" spans="1:9">
      <c r="A172" s="2" t="s">
        <v>2891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7">
        <v>0</v>
      </c>
      <c r="I172" t="s">
        <v>78</v>
      </c>
    </row>
    <row r="173" spans="1:9">
      <c r="A173" s="2" t="s">
        <v>2892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7">
        <v>0</v>
      </c>
      <c r="I173" t="s">
        <v>78</v>
      </c>
    </row>
    <row r="174" spans="1:9">
      <c r="A174" s="2" t="s">
        <v>2893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7">
        <v>0</v>
      </c>
      <c r="I174" t="s">
        <v>78</v>
      </c>
    </row>
    <row r="175" spans="1:9">
      <c r="A175" s="2" t="s">
        <v>2894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7">
        <v>0</v>
      </c>
      <c r="I175" t="s">
        <v>78</v>
      </c>
    </row>
    <row r="176" spans="1:9">
      <c r="A176" s="2" t="s">
        <v>2895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7">
        <v>0</v>
      </c>
      <c r="I176" t="s">
        <v>78</v>
      </c>
    </row>
    <row r="177" spans="1:9">
      <c r="A177" s="2" t="s">
        <v>2896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7">
        <v>0</v>
      </c>
      <c r="I177" t="s">
        <v>78</v>
      </c>
    </row>
    <row r="178" spans="1:9">
      <c r="A178" s="2" t="s">
        <v>2897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7">
        <v>0</v>
      </c>
      <c r="I178" t="s">
        <v>78</v>
      </c>
    </row>
    <row r="179" spans="1:9">
      <c r="A179" s="2" t="s">
        <v>2898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7">
        <v>-3</v>
      </c>
      <c r="I179" t="s">
        <v>78</v>
      </c>
    </row>
    <row r="180" spans="1:9">
      <c r="A180" s="2" t="s">
        <v>2899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7">
        <v>-3</v>
      </c>
      <c r="I180" t="s">
        <v>78</v>
      </c>
    </row>
    <row r="181" spans="1:9">
      <c r="A181" s="2" t="s">
        <v>2900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7">
        <v>0</v>
      </c>
      <c r="I181" t="s">
        <v>78</v>
      </c>
    </row>
    <row r="182" spans="1:9">
      <c r="A182" s="2" t="s">
        <v>2901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7">
        <v>0</v>
      </c>
      <c r="I182" t="s">
        <v>78</v>
      </c>
    </row>
    <row r="183" spans="1:9">
      <c r="A183" s="2" t="s">
        <v>2902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7">
        <v>-3</v>
      </c>
      <c r="I183" t="s">
        <v>78</v>
      </c>
    </row>
    <row r="184" spans="1:9">
      <c r="A184" s="2" t="s">
        <v>2903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7">
        <v>0</v>
      </c>
      <c r="I184" t="s">
        <v>78</v>
      </c>
    </row>
    <row r="185" spans="1:9">
      <c r="A185" s="2" t="s">
        <v>2904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7">
        <v>0</v>
      </c>
      <c r="I185" t="s">
        <v>78</v>
      </c>
    </row>
    <row r="186" spans="1:9">
      <c r="A186" s="2" t="s">
        <v>2905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7">
        <v>0</v>
      </c>
      <c r="I186" t="s">
        <v>78</v>
      </c>
    </row>
    <row r="187" spans="1:9">
      <c r="A187" s="2" t="s">
        <v>2906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7">
        <v>0</v>
      </c>
      <c r="I187" t="s">
        <v>78</v>
      </c>
    </row>
    <row r="188" spans="1:9">
      <c r="A188" s="2" t="s">
        <v>2907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7">
        <v>0</v>
      </c>
      <c r="I188" t="s">
        <v>78</v>
      </c>
    </row>
    <row r="189" spans="1:9">
      <c r="A189" s="2" t="s">
        <v>2908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7">
        <v>-3</v>
      </c>
      <c r="I189" t="s">
        <v>78</v>
      </c>
    </row>
    <row r="190" spans="1:9">
      <c r="A190" s="2" t="s">
        <v>2909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7">
        <v>0</v>
      </c>
      <c r="I190" t="s">
        <v>78</v>
      </c>
    </row>
    <row r="191" spans="1:9">
      <c r="A191" s="2" t="s">
        <v>3521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7">
        <v>0</v>
      </c>
      <c r="I191" t="s">
        <v>78</v>
      </c>
    </row>
    <row r="192" spans="1:9">
      <c r="A192" s="2" t="s">
        <v>3522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7">
        <v>0</v>
      </c>
      <c r="I192" t="s">
        <v>78</v>
      </c>
    </row>
    <row r="193" spans="1:9">
      <c r="A193" s="2" t="s">
        <v>2910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7">
        <v>0</v>
      </c>
      <c r="I193" t="s">
        <v>78</v>
      </c>
    </row>
    <row r="194" spans="1:9">
      <c r="A194" s="2" t="s">
        <v>2911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7">
        <v>0</v>
      </c>
      <c r="I194" t="s">
        <v>78</v>
      </c>
    </row>
    <row r="195" spans="1:9">
      <c r="A195" s="2" t="s">
        <v>2912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7">
        <v>0</v>
      </c>
      <c r="I195" t="s">
        <v>78</v>
      </c>
    </row>
    <row r="196" spans="1:9">
      <c r="A196" s="2" t="s">
        <v>2913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7">
        <v>0</v>
      </c>
      <c r="I196" t="s">
        <v>78</v>
      </c>
    </row>
    <row r="197" spans="1:9">
      <c r="A197" s="2" t="s">
        <v>2914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7">
        <v>0</v>
      </c>
      <c r="I197" t="s">
        <v>78</v>
      </c>
    </row>
    <row r="198" spans="1:9">
      <c r="A198" s="2" t="s">
        <v>2915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7">
        <v>0</v>
      </c>
      <c r="I198" t="s">
        <v>78</v>
      </c>
    </row>
    <row r="199" spans="1:9">
      <c r="A199" s="2" t="s">
        <v>2916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7">
        <v>0</v>
      </c>
      <c r="I199" t="s">
        <v>78</v>
      </c>
    </row>
    <row r="200" spans="1:9">
      <c r="A200" s="2" t="s">
        <v>2917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7">
        <v>0</v>
      </c>
      <c r="I200" t="s">
        <v>78</v>
      </c>
    </row>
    <row r="201" spans="1:9">
      <c r="A201" s="2" t="s">
        <v>2918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7">
        <v>0</v>
      </c>
      <c r="I201" t="s">
        <v>78</v>
      </c>
    </row>
    <row r="202" spans="1:9">
      <c r="A202" s="2" t="s">
        <v>2919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7">
        <v>0</v>
      </c>
      <c r="I202" t="s">
        <v>78</v>
      </c>
    </row>
    <row r="203" spans="1:9">
      <c r="A203" s="2" t="s">
        <v>2920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7">
        <v>0</v>
      </c>
      <c r="I203" t="s">
        <v>78</v>
      </c>
    </row>
    <row r="204" spans="1:9">
      <c r="A204" s="2" t="s">
        <v>2921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7">
        <v>0</v>
      </c>
      <c r="I204" t="s">
        <v>78</v>
      </c>
    </row>
    <row r="205" spans="1:9">
      <c r="A205" s="2" t="s">
        <v>2922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7">
        <v>0</v>
      </c>
      <c r="I205" t="s">
        <v>78</v>
      </c>
    </row>
    <row r="206" spans="1:9">
      <c r="A206" s="2" t="s">
        <v>2923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7">
        <v>0</v>
      </c>
      <c r="I206" t="s">
        <v>78</v>
      </c>
    </row>
    <row r="207" spans="1:9">
      <c r="A207" s="2" t="s">
        <v>2924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7">
        <v>0</v>
      </c>
      <c r="I207" t="s">
        <v>78</v>
      </c>
    </row>
    <row r="208" spans="1:9">
      <c r="A208" s="2" t="s">
        <v>2925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7">
        <v>0</v>
      </c>
      <c r="I208" t="s">
        <v>78</v>
      </c>
    </row>
    <row r="209" spans="1:9">
      <c r="A209" s="2" t="s">
        <v>2926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7">
        <v>0</v>
      </c>
      <c r="I209" t="s">
        <v>78</v>
      </c>
    </row>
    <row r="210" spans="1:9">
      <c r="A210" s="2" t="s">
        <v>2927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7">
        <v>0</v>
      </c>
      <c r="I210" t="s">
        <v>78</v>
      </c>
    </row>
    <row r="211" spans="1:9">
      <c r="A211" s="2" t="s">
        <v>2928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7">
        <v>0</v>
      </c>
      <c r="I211" t="s">
        <v>78</v>
      </c>
    </row>
    <row r="212" spans="1:9">
      <c r="A212" s="2" t="s">
        <v>2929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7">
        <v>0</v>
      </c>
      <c r="I212" t="s">
        <v>78</v>
      </c>
    </row>
    <row r="213" spans="1:9">
      <c r="A213" s="2" t="s">
        <v>2930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7">
        <v>0</v>
      </c>
      <c r="I213" t="s">
        <v>78</v>
      </c>
    </row>
    <row r="214" spans="1:9">
      <c r="A214" s="2" t="s">
        <v>2931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7">
        <v>0</v>
      </c>
      <c r="I214" t="s">
        <v>78</v>
      </c>
    </row>
    <row r="215" spans="1:9">
      <c r="A215" s="2" t="s">
        <v>2932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7">
        <v>-3</v>
      </c>
      <c r="I215" t="s">
        <v>78</v>
      </c>
    </row>
    <row r="216" spans="1:9">
      <c r="A216" s="2" t="s">
        <v>2933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7">
        <v>0</v>
      </c>
      <c r="I216" t="s">
        <v>78</v>
      </c>
    </row>
    <row r="217" spans="1:9">
      <c r="A217" s="2" t="s">
        <v>2934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7">
        <v>0</v>
      </c>
      <c r="I217" t="s">
        <v>78</v>
      </c>
    </row>
    <row r="218" spans="1:9">
      <c r="A218" s="2" t="s">
        <v>2935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7">
        <v>0</v>
      </c>
      <c r="I218" t="s">
        <v>78</v>
      </c>
    </row>
    <row r="219" spans="1:9">
      <c r="A219" s="2" t="s">
        <v>2936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7">
        <v>0</v>
      </c>
      <c r="I219" t="s">
        <v>78</v>
      </c>
    </row>
    <row r="220" spans="1:9">
      <c r="A220" s="2" t="s">
        <v>2937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7">
        <v>0</v>
      </c>
      <c r="I220" t="s">
        <v>78</v>
      </c>
    </row>
    <row r="221" spans="1:9">
      <c r="A221" s="2" t="s">
        <v>2938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7">
        <v>0</v>
      </c>
      <c r="I221" t="s">
        <v>78</v>
      </c>
    </row>
    <row r="222" spans="1:9">
      <c r="A222" s="2" t="s">
        <v>2939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7">
        <v>0</v>
      </c>
      <c r="I222" t="s">
        <v>78</v>
      </c>
    </row>
    <row r="223" spans="1:9">
      <c r="A223" s="2" t="s">
        <v>2940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7">
        <v>0</v>
      </c>
      <c r="I223" t="s">
        <v>78</v>
      </c>
    </row>
    <row r="224" spans="1:9">
      <c r="A224" s="2" t="s">
        <v>2941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7">
        <v>0</v>
      </c>
      <c r="I224" t="s">
        <v>78</v>
      </c>
    </row>
    <row r="225" spans="1:9">
      <c r="A225" s="2" t="s">
        <v>3524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7">
        <v>0</v>
      </c>
      <c r="I225" t="s">
        <v>78</v>
      </c>
    </row>
    <row r="226" spans="1:9">
      <c r="A226" s="2" t="s">
        <v>2942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7">
        <v>0</v>
      </c>
      <c r="I226" t="s">
        <v>78</v>
      </c>
    </row>
    <row r="227" spans="1:9">
      <c r="A227" s="2" t="s">
        <v>2943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7">
        <v>0</v>
      </c>
      <c r="I227" t="s">
        <v>78</v>
      </c>
    </row>
    <row r="228" spans="1:9">
      <c r="A228" s="2" t="s">
        <v>2944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7">
        <v>0</v>
      </c>
      <c r="I228" t="s">
        <v>78</v>
      </c>
    </row>
    <row r="229" spans="1:9">
      <c r="A229" s="2" t="s">
        <v>2945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7">
        <v>0</v>
      </c>
      <c r="I229" t="s">
        <v>78</v>
      </c>
    </row>
    <row r="230" spans="1:9">
      <c r="A230" s="2" t="s">
        <v>2946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7">
        <v>0</v>
      </c>
      <c r="I230" t="s">
        <v>78</v>
      </c>
    </row>
    <row r="231" spans="1:9">
      <c r="A231" s="2" t="s">
        <v>2947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7">
        <v>0</v>
      </c>
      <c r="I231" t="s">
        <v>78</v>
      </c>
    </row>
    <row r="232" spans="1:9">
      <c r="A232" s="2" t="s">
        <v>2948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7">
        <v>0</v>
      </c>
      <c r="I232" t="s">
        <v>78</v>
      </c>
    </row>
    <row r="233" spans="1:9">
      <c r="A233" s="2" t="s">
        <v>2949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7">
        <v>0</v>
      </c>
      <c r="I233" t="s">
        <v>78</v>
      </c>
    </row>
    <row r="234" spans="1:9">
      <c r="A234" s="2" t="s">
        <v>2950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7">
        <v>0</v>
      </c>
      <c r="I234" t="s">
        <v>78</v>
      </c>
    </row>
    <row r="235" spans="1:9">
      <c r="A235" s="2" t="s">
        <v>2951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7">
        <v>0</v>
      </c>
      <c r="I235" t="s">
        <v>78</v>
      </c>
    </row>
    <row r="236" spans="1:9">
      <c r="A236" s="2" t="s">
        <v>2952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7">
        <v>0</v>
      </c>
      <c r="I236" t="s">
        <v>78</v>
      </c>
    </row>
    <row r="237" spans="1:9">
      <c r="A237" s="2" t="s">
        <v>2953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7">
        <v>0</v>
      </c>
      <c r="I237" t="s">
        <v>78</v>
      </c>
    </row>
    <row r="238" spans="1:9">
      <c r="A238" s="2" t="s">
        <v>2954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7">
        <v>0</v>
      </c>
      <c r="I238" t="s">
        <v>78</v>
      </c>
    </row>
    <row r="239" spans="1:9">
      <c r="A239" s="2" t="s">
        <v>2955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7">
        <v>0</v>
      </c>
      <c r="I239" t="s">
        <v>78</v>
      </c>
    </row>
    <row r="240" spans="1:9">
      <c r="A240" s="2" t="s">
        <v>2956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7">
        <v>0</v>
      </c>
      <c r="I240" t="s">
        <v>78</v>
      </c>
    </row>
    <row r="241" spans="1:9">
      <c r="A241" s="2" t="s">
        <v>2957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7">
        <v>0</v>
      </c>
      <c r="I241" t="s">
        <v>78</v>
      </c>
    </row>
    <row r="242" spans="1:9">
      <c r="A242" s="2" t="s">
        <v>2958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7">
        <v>0</v>
      </c>
      <c r="I242" t="s">
        <v>78</v>
      </c>
    </row>
    <row r="243" spans="1:9">
      <c r="A243" s="2" t="s">
        <v>2959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7">
        <v>0</v>
      </c>
      <c r="I243" t="s">
        <v>78</v>
      </c>
    </row>
    <row r="244" spans="1:9">
      <c r="A244" s="2" t="s">
        <v>2960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7">
        <v>0</v>
      </c>
      <c r="I244" t="s">
        <v>78</v>
      </c>
    </row>
    <row r="245" spans="1:9">
      <c r="A245" s="2" t="s">
        <v>2961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7">
        <v>0</v>
      </c>
      <c r="I245" t="s">
        <v>78</v>
      </c>
    </row>
    <row r="246" spans="1:9">
      <c r="A246" s="2" t="s">
        <v>2962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7">
        <v>0</v>
      </c>
      <c r="I246" t="s">
        <v>78</v>
      </c>
    </row>
    <row r="247" spans="1:9">
      <c r="A247" s="2" t="s">
        <v>2963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7">
        <v>0</v>
      </c>
      <c r="I247" t="s">
        <v>78</v>
      </c>
    </row>
    <row r="248" spans="1:9">
      <c r="A248" s="2" t="s">
        <v>2964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7">
        <v>0</v>
      </c>
      <c r="I248" t="s">
        <v>78</v>
      </c>
    </row>
    <row r="249" spans="1:9">
      <c r="A249" s="2" t="s">
        <v>2965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7">
        <v>0</v>
      </c>
      <c r="I249" t="s">
        <v>78</v>
      </c>
    </row>
    <row r="250" spans="1:9">
      <c r="A250" s="2" t="s">
        <v>2966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7">
        <v>0</v>
      </c>
      <c r="I250" t="s">
        <v>78</v>
      </c>
    </row>
    <row r="251" spans="1:9">
      <c r="A251" s="2" t="s">
        <v>2967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7">
        <v>0</v>
      </c>
      <c r="I251" t="s">
        <v>78</v>
      </c>
    </row>
    <row r="252" spans="1:9">
      <c r="A252" s="2" t="s">
        <v>2968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7">
        <v>0</v>
      </c>
      <c r="I252" t="s">
        <v>78</v>
      </c>
    </row>
    <row r="253" spans="1:9">
      <c r="A253" s="2" t="s">
        <v>2969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7">
        <v>0</v>
      </c>
      <c r="I253" t="s">
        <v>78</v>
      </c>
    </row>
    <row r="254" spans="1:9">
      <c r="A254" s="2" t="s">
        <v>2970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7">
        <v>0</v>
      </c>
      <c r="I254" t="s">
        <v>78</v>
      </c>
    </row>
    <row r="255" spans="1:9">
      <c r="A255" s="2" t="s">
        <v>2971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7">
        <v>0</v>
      </c>
      <c r="I255" t="s">
        <v>78</v>
      </c>
    </row>
    <row r="256" spans="1:9">
      <c r="A256" s="2" t="s">
        <v>2972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7">
        <v>0</v>
      </c>
      <c r="I256" t="s">
        <v>78</v>
      </c>
    </row>
    <row r="257" spans="1:9">
      <c r="A257" s="2" t="s">
        <v>3533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7">
        <v>0</v>
      </c>
      <c r="I257" t="s">
        <v>78</v>
      </c>
    </row>
    <row r="258" spans="1:9">
      <c r="A258" s="2" t="s">
        <v>2973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7">
        <v>0</v>
      </c>
      <c r="I258" t="s">
        <v>78</v>
      </c>
    </row>
    <row r="259" spans="1:9">
      <c r="A259" s="2" t="s">
        <v>2974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7">
        <v>0</v>
      </c>
      <c r="I259" t="s">
        <v>78</v>
      </c>
    </row>
    <row r="260" spans="1:9">
      <c r="A260" s="2" t="s">
        <v>2975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7">
        <v>0</v>
      </c>
      <c r="I260" t="s">
        <v>78</v>
      </c>
    </row>
    <row r="261" spans="1:9">
      <c r="A261" s="2" t="s">
        <v>2976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7">
        <v>0</v>
      </c>
      <c r="I261" t="s">
        <v>78</v>
      </c>
    </row>
    <row r="262" spans="1:9">
      <c r="A262" s="2" t="s">
        <v>2977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7">
        <v>0</v>
      </c>
      <c r="I262" t="s">
        <v>78</v>
      </c>
    </row>
    <row r="263" spans="1:9">
      <c r="A263" s="2" t="s">
        <v>2978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7">
        <v>0</v>
      </c>
      <c r="I263" t="s">
        <v>78</v>
      </c>
    </row>
    <row r="264" spans="1:9">
      <c r="A264" s="2" t="s">
        <v>2979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7">
        <v>0</v>
      </c>
      <c r="I264" t="s">
        <v>78</v>
      </c>
    </row>
    <row r="265" spans="1:9">
      <c r="A265" s="2" t="s">
        <v>2980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7">
        <v>0</v>
      </c>
      <c r="I265" t="s">
        <v>78</v>
      </c>
    </row>
    <row r="266" spans="1:9">
      <c r="A266" s="2" t="s">
        <v>3552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7">
        <v>0</v>
      </c>
      <c r="I266" t="s">
        <v>78</v>
      </c>
    </row>
    <row r="267" spans="1:9">
      <c r="A267" s="2" t="s">
        <v>2981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7">
        <v>0</v>
      </c>
      <c r="I267" t="s">
        <v>78</v>
      </c>
    </row>
    <row r="268" spans="1:9">
      <c r="A268" s="2" t="s">
        <v>2982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7">
        <v>0</v>
      </c>
      <c r="I268" t="s">
        <v>78</v>
      </c>
    </row>
    <row r="269" spans="1:9">
      <c r="A269" s="2" t="s">
        <v>2983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7">
        <v>0</v>
      </c>
      <c r="I269" t="s">
        <v>78</v>
      </c>
    </row>
    <row r="270" spans="1:9">
      <c r="A270" s="2" t="s">
        <v>2984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7">
        <v>0</v>
      </c>
      <c r="I270" t="s">
        <v>78</v>
      </c>
    </row>
    <row r="271" spans="1:9">
      <c r="A271" s="2" t="s">
        <v>2985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7">
        <v>0</v>
      </c>
      <c r="I271" t="s">
        <v>78</v>
      </c>
    </row>
    <row r="272" spans="1:9">
      <c r="A272" s="2" t="s">
        <v>2986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7">
        <v>0</v>
      </c>
      <c r="I272" t="s">
        <v>78</v>
      </c>
    </row>
    <row r="273" spans="1:9">
      <c r="A273" s="2" t="s">
        <v>2987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7">
        <v>0</v>
      </c>
      <c r="I273" t="s">
        <v>78</v>
      </c>
    </row>
    <row r="274" spans="1:9">
      <c r="A274" s="2" t="s">
        <v>2988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7">
        <v>0</v>
      </c>
      <c r="I274" t="s">
        <v>78</v>
      </c>
    </row>
    <row r="275" spans="1:9">
      <c r="A275" s="2" t="s">
        <v>2989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7">
        <v>0</v>
      </c>
      <c r="I275" t="s">
        <v>78</v>
      </c>
    </row>
    <row r="276" spans="1:9">
      <c r="A276" s="2" t="s">
        <v>2990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7">
        <v>0</v>
      </c>
      <c r="I276" t="s">
        <v>78</v>
      </c>
    </row>
    <row r="277" spans="1:9">
      <c r="A277" s="2" t="s">
        <v>2991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7">
        <v>0</v>
      </c>
      <c r="I277" t="s">
        <v>78</v>
      </c>
    </row>
    <row r="278" spans="1:9">
      <c r="A278" s="2" t="s">
        <v>2992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7">
        <v>0</v>
      </c>
      <c r="I278" t="s">
        <v>78</v>
      </c>
    </row>
    <row r="279" spans="1:9">
      <c r="A279" s="2" t="s">
        <v>2993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7">
        <v>0</v>
      </c>
      <c r="I279" t="s">
        <v>78</v>
      </c>
    </row>
    <row r="280" spans="1:9">
      <c r="A280" s="2" t="s">
        <v>2994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7">
        <v>0</v>
      </c>
      <c r="I280" t="s">
        <v>78</v>
      </c>
    </row>
    <row r="281" spans="1:9">
      <c r="A281" s="2" t="s">
        <v>2995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7">
        <v>0</v>
      </c>
      <c r="I281" t="s">
        <v>78</v>
      </c>
    </row>
    <row r="282" spans="1:9">
      <c r="A282" s="2" t="s">
        <v>2996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7">
        <v>0</v>
      </c>
      <c r="I282" t="s">
        <v>78</v>
      </c>
    </row>
    <row r="283" spans="1:9">
      <c r="A283" s="2" t="s">
        <v>2997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7">
        <v>0</v>
      </c>
      <c r="I283" t="s">
        <v>78</v>
      </c>
    </row>
    <row r="284" spans="1:9">
      <c r="A284" s="2" t="s">
        <v>2998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7">
        <v>0</v>
      </c>
      <c r="I284" t="s">
        <v>78</v>
      </c>
    </row>
    <row r="285" spans="1:9">
      <c r="A285" s="2" t="s">
        <v>2999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7">
        <v>0</v>
      </c>
      <c r="I285" t="s">
        <v>78</v>
      </c>
    </row>
    <row r="286" spans="1:9">
      <c r="A286" s="2" t="s">
        <v>3000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7">
        <v>0</v>
      </c>
      <c r="I286" t="s">
        <v>78</v>
      </c>
    </row>
    <row r="287" spans="1:9">
      <c r="A287" s="2" t="s">
        <v>3001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7">
        <v>0</v>
      </c>
      <c r="I287" t="s">
        <v>78</v>
      </c>
    </row>
    <row r="288" spans="1:9">
      <c r="A288" s="2" t="s">
        <v>3002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7">
        <v>0</v>
      </c>
      <c r="I288" t="s">
        <v>78</v>
      </c>
    </row>
    <row r="289" spans="1:9">
      <c r="A289" s="2" t="s">
        <v>3003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7">
        <v>0</v>
      </c>
      <c r="I289" t="s">
        <v>78</v>
      </c>
    </row>
    <row r="290" spans="1:9">
      <c r="A290" s="2" t="s">
        <v>3004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7">
        <v>0</v>
      </c>
      <c r="I290" t="s">
        <v>78</v>
      </c>
    </row>
    <row r="291" spans="1:9">
      <c r="A291" s="2" t="s">
        <v>3005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7">
        <v>0</v>
      </c>
      <c r="I291" t="s">
        <v>78</v>
      </c>
    </row>
    <row r="292" spans="1:9">
      <c r="A292" s="2" t="s">
        <v>3006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7">
        <v>0</v>
      </c>
      <c r="I292" t="s">
        <v>78</v>
      </c>
    </row>
    <row r="293" spans="1:9">
      <c r="A293" s="2" t="s">
        <v>3007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7">
        <v>0</v>
      </c>
      <c r="I293" t="s">
        <v>78</v>
      </c>
    </row>
    <row r="294" spans="1:9">
      <c r="A294" s="2" t="s">
        <v>3008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7">
        <v>0</v>
      </c>
      <c r="I294" t="s">
        <v>78</v>
      </c>
    </row>
    <row r="295" spans="1:9">
      <c r="A295" s="2" t="s">
        <v>3009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7">
        <v>0</v>
      </c>
      <c r="I295" t="s">
        <v>78</v>
      </c>
    </row>
    <row r="296" spans="1:9">
      <c r="A296" s="2" t="s">
        <v>3010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7">
        <v>0</v>
      </c>
      <c r="I296" t="s">
        <v>78</v>
      </c>
    </row>
    <row r="297" spans="1:9">
      <c r="A297" s="2" t="s">
        <v>3011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7">
        <v>0</v>
      </c>
      <c r="I297" t="s">
        <v>78</v>
      </c>
    </row>
    <row r="298" spans="1:9">
      <c r="A298" s="2" t="s">
        <v>3012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7">
        <v>0</v>
      </c>
      <c r="I298" t="s">
        <v>78</v>
      </c>
    </row>
    <row r="299" spans="1:9">
      <c r="A299" s="2" t="s">
        <v>3013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7">
        <v>0</v>
      </c>
      <c r="I299" t="s">
        <v>78</v>
      </c>
    </row>
    <row r="300" spans="1:9">
      <c r="A300" s="2" t="s">
        <v>3014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7">
        <v>0</v>
      </c>
      <c r="I300" t="s">
        <v>78</v>
      </c>
    </row>
    <row r="301" spans="1:9">
      <c r="A301" s="2" t="s">
        <v>3015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7">
        <v>0</v>
      </c>
      <c r="I301" t="s">
        <v>78</v>
      </c>
    </row>
    <row r="302" spans="1:9">
      <c r="A302" s="2" t="s">
        <v>3016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7">
        <v>0</v>
      </c>
      <c r="I302" t="s">
        <v>78</v>
      </c>
    </row>
    <row r="303" spans="1:9">
      <c r="A303" s="2" t="s">
        <v>3017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7">
        <v>0</v>
      </c>
      <c r="I303" t="s">
        <v>78</v>
      </c>
    </row>
    <row r="304" spans="1:9">
      <c r="A304" s="2" t="s">
        <v>3018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7">
        <v>0</v>
      </c>
      <c r="I304" t="s">
        <v>78</v>
      </c>
    </row>
    <row r="305" spans="1:9">
      <c r="A305" s="2" t="s">
        <v>3019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7">
        <v>0</v>
      </c>
      <c r="I305" t="s">
        <v>78</v>
      </c>
    </row>
    <row r="306" spans="1:9">
      <c r="A306" s="2" t="s">
        <v>3020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7">
        <v>0</v>
      </c>
      <c r="I306" t="s">
        <v>78</v>
      </c>
    </row>
    <row r="307" spans="1:9">
      <c r="A307" s="2" t="s">
        <v>3021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7">
        <v>0</v>
      </c>
      <c r="I307" t="s">
        <v>78</v>
      </c>
    </row>
    <row r="308" spans="1:9">
      <c r="A308" s="2" t="s">
        <v>3022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7">
        <v>0</v>
      </c>
      <c r="I308" t="s">
        <v>78</v>
      </c>
    </row>
    <row r="309" spans="1:9">
      <c r="A309" s="2" t="s">
        <v>3023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7">
        <v>0</v>
      </c>
      <c r="I309" t="s">
        <v>78</v>
      </c>
    </row>
    <row r="310" spans="1:9">
      <c r="A310" s="2" t="s">
        <v>3024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7">
        <v>0</v>
      </c>
      <c r="I310" t="s">
        <v>78</v>
      </c>
    </row>
    <row r="311" spans="1:9">
      <c r="A311" s="2" t="s">
        <v>3025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7">
        <v>0</v>
      </c>
      <c r="I311" t="s">
        <v>78</v>
      </c>
    </row>
    <row r="312" spans="1:9">
      <c r="A312" s="2" t="s">
        <v>3026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7">
        <v>0</v>
      </c>
      <c r="I312" t="s">
        <v>78</v>
      </c>
    </row>
    <row r="313" spans="1:9">
      <c r="A313" s="2" t="s">
        <v>3027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7">
        <v>0</v>
      </c>
      <c r="I313" t="s">
        <v>78</v>
      </c>
    </row>
    <row r="314" spans="1:9">
      <c r="A314" s="2" t="s">
        <v>3028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7">
        <v>0</v>
      </c>
      <c r="I314" t="s">
        <v>78</v>
      </c>
    </row>
    <row r="315" spans="1:9">
      <c r="A315" s="2" t="s">
        <v>3029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7">
        <v>0</v>
      </c>
      <c r="I315" t="s">
        <v>78</v>
      </c>
    </row>
    <row r="316" spans="1:9">
      <c r="A316" s="2" t="s">
        <v>3030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7">
        <v>0</v>
      </c>
      <c r="I316" t="s">
        <v>78</v>
      </c>
    </row>
    <row r="317" spans="1:9">
      <c r="A317" s="2" t="s">
        <v>3031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7">
        <v>0</v>
      </c>
      <c r="I317" t="s">
        <v>78</v>
      </c>
    </row>
    <row r="318" spans="1:9">
      <c r="A318" s="2" t="s">
        <v>3032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7">
        <v>0</v>
      </c>
      <c r="I318" t="s">
        <v>78</v>
      </c>
    </row>
    <row r="319" spans="1:9">
      <c r="A319" s="2" t="s">
        <v>3033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7">
        <v>0</v>
      </c>
      <c r="I319" t="s">
        <v>78</v>
      </c>
    </row>
    <row r="320" spans="1:9">
      <c r="A320" s="2" t="s">
        <v>3034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7">
        <v>0</v>
      </c>
      <c r="I320" t="s">
        <v>78</v>
      </c>
    </row>
    <row r="321" spans="1:9">
      <c r="A321" s="2" t="s">
        <v>3035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7">
        <v>0</v>
      </c>
      <c r="I321" t="s">
        <v>78</v>
      </c>
    </row>
    <row r="322" spans="1:9">
      <c r="A322" s="2" t="s">
        <v>3036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7">
        <v>0</v>
      </c>
      <c r="I322" t="s">
        <v>78</v>
      </c>
    </row>
    <row r="323" spans="1:9">
      <c r="A323" s="2" t="s">
        <v>3037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7">
        <v>0</v>
      </c>
      <c r="I323" t="s">
        <v>78</v>
      </c>
    </row>
    <row r="324" spans="1:9">
      <c r="A324" s="2" t="s">
        <v>3038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7">
        <v>0</v>
      </c>
      <c r="I324" t="s">
        <v>78</v>
      </c>
    </row>
    <row r="325" spans="1:9">
      <c r="A325" s="2" t="s">
        <v>3039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7">
        <v>0</v>
      </c>
      <c r="I325" t="s">
        <v>78</v>
      </c>
    </row>
    <row r="326" spans="1:9">
      <c r="A326" s="2" t="s">
        <v>3040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7">
        <v>0</v>
      </c>
      <c r="I326" t="s">
        <v>78</v>
      </c>
    </row>
    <row r="327" spans="1:9">
      <c r="A327" s="2" t="s">
        <v>3041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7">
        <v>0</v>
      </c>
      <c r="I327" t="s">
        <v>78</v>
      </c>
    </row>
    <row r="328" spans="1:9">
      <c r="A328" s="2" t="s">
        <v>3042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7">
        <v>0</v>
      </c>
      <c r="I328" t="s">
        <v>78</v>
      </c>
    </row>
    <row r="329" spans="1:9">
      <c r="A329" s="2" t="s">
        <v>3043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7">
        <v>0</v>
      </c>
      <c r="I329" t="s">
        <v>78</v>
      </c>
    </row>
    <row r="330" spans="1:9">
      <c r="A330" s="2" t="s">
        <v>3044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7">
        <v>0</v>
      </c>
      <c r="I330" t="s">
        <v>78</v>
      </c>
    </row>
    <row r="331" spans="1:9">
      <c r="A331" s="2" t="s">
        <v>3045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7">
        <v>0</v>
      </c>
      <c r="I331" t="s">
        <v>78</v>
      </c>
    </row>
    <row r="332" spans="1:9">
      <c r="A332" s="2" t="s">
        <v>3046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7">
        <v>0</v>
      </c>
      <c r="I332" t="s">
        <v>78</v>
      </c>
    </row>
    <row r="333" spans="1:9">
      <c r="A333" s="2" t="s">
        <v>3047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7">
        <v>0</v>
      </c>
      <c r="I333" t="s">
        <v>78</v>
      </c>
    </row>
    <row r="334" spans="1:9">
      <c r="A334" s="2" t="s">
        <v>3048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7">
        <v>0</v>
      </c>
      <c r="I334" t="s">
        <v>78</v>
      </c>
    </row>
    <row r="335" spans="1:9">
      <c r="A335" s="2" t="s">
        <v>3049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7">
        <v>0</v>
      </c>
      <c r="I335" t="s">
        <v>78</v>
      </c>
    </row>
    <row r="336" spans="1:9">
      <c r="A336" s="2" t="s">
        <v>3050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7">
        <v>0</v>
      </c>
      <c r="I336" t="s">
        <v>78</v>
      </c>
    </row>
    <row r="337" spans="1:9">
      <c r="A337" s="2" t="s">
        <v>3051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7">
        <v>0</v>
      </c>
      <c r="I337" t="s">
        <v>78</v>
      </c>
    </row>
    <row r="338" spans="1:9">
      <c r="A338" s="2" t="s">
        <v>3052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7">
        <v>0</v>
      </c>
      <c r="I338" t="s">
        <v>78</v>
      </c>
    </row>
    <row r="339" spans="1:9">
      <c r="A339" s="2" t="s">
        <v>3053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7">
        <v>0</v>
      </c>
      <c r="I339" t="s">
        <v>78</v>
      </c>
    </row>
    <row r="340" spans="1:9">
      <c r="A340" s="2" t="s">
        <v>3054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7">
        <v>0</v>
      </c>
      <c r="I340" t="s">
        <v>78</v>
      </c>
    </row>
    <row r="341" spans="1:9">
      <c r="A341" s="2" t="s">
        <v>3055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7">
        <v>0</v>
      </c>
      <c r="I341" t="s">
        <v>78</v>
      </c>
    </row>
    <row r="342" spans="1:9">
      <c r="A342" s="2" t="s">
        <v>3056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7">
        <v>0</v>
      </c>
      <c r="I342" t="s">
        <v>78</v>
      </c>
    </row>
    <row r="343" spans="1:9">
      <c r="A343" s="2" t="s">
        <v>3057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7">
        <v>0</v>
      </c>
      <c r="I343" t="s">
        <v>78</v>
      </c>
    </row>
    <row r="344" spans="1:9">
      <c r="A344" s="2" t="s">
        <v>3058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7">
        <v>0</v>
      </c>
      <c r="I344" t="s">
        <v>78</v>
      </c>
    </row>
    <row r="345" spans="1:9">
      <c r="A345" s="2" t="s">
        <v>3059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7">
        <v>0</v>
      </c>
      <c r="I345" t="s">
        <v>78</v>
      </c>
    </row>
    <row r="346" spans="1:9">
      <c r="A346" s="2" t="s">
        <v>3060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7">
        <v>0</v>
      </c>
      <c r="I346" t="s">
        <v>78</v>
      </c>
    </row>
    <row r="347" spans="1:9">
      <c r="A347" s="2" t="s">
        <v>3061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7">
        <v>0</v>
      </c>
      <c r="I347" t="s">
        <v>78</v>
      </c>
    </row>
    <row r="348" spans="1:9">
      <c r="A348" s="2" t="s">
        <v>3062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7">
        <v>0</v>
      </c>
      <c r="I348" t="s">
        <v>78</v>
      </c>
    </row>
    <row r="349" spans="1:9">
      <c r="A349" s="2" t="s">
        <v>3063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7">
        <v>0</v>
      </c>
      <c r="I349" t="s">
        <v>78</v>
      </c>
    </row>
    <row r="350" spans="1:9">
      <c r="A350" s="2" t="s">
        <v>3064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7">
        <v>0</v>
      </c>
      <c r="I350" t="s">
        <v>78</v>
      </c>
    </row>
    <row r="351" spans="1:9">
      <c r="A351" s="2" t="s">
        <v>3065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7">
        <v>0</v>
      </c>
      <c r="I351" t="s">
        <v>78</v>
      </c>
    </row>
    <row r="352" spans="1:9">
      <c r="A352" s="2" t="s">
        <v>3066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7">
        <v>0</v>
      </c>
      <c r="I352" t="s">
        <v>78</v>
      </c>
    </row>
    <row r="353" spans="1:9">
      <c r="A353" s="2" t="s">
        <v>3067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7">
        <v>-3</v>
      </c>
      <c r="I353" t="s">
        <v>78</v>
      </c>
    </row>
    <row r="354" spans="1:9">
      <c r="A354" s="2" t="s">
        <v>3068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7">
        <v>-3</v>
      </c>
      <c r="I354" t="s">
        <v>78</v>
      </c>
    </row>
    <row r="355" spans="1:9">
      <c r="A355" s="2" t="s">
        <v>3069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7">
        <v>-3</v>
      </c>
      <c r="I355" t="s">
        <v>78</v>
      </c>
    </row>
    <row r="356" spans="1:9">
      <c r="A356" s="2" t="s">
        <v>3070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7">
        <v>-3</v>
      </c>
      <c r="I356" t="s">
        <v>78</v>
      </c>
    </row>
    <row r="357" spans="1:9">
      <c r="A357" s="2" t="s">
        <v>3071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7">
        <v>-3</v>
      </c>
      <c r="I357" t="s">
        <v>78</v>
      </c>
    </row>
    <row r="358" spans="1:9">
      <c r="A358" s="2" t="s">
        <v>3072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7">
        <v>0</v>
      </c>
      <c r="I358" t="s">
        <v>78</v>
      </c>
    </row>
    <row r="359" spans="1:9">
      <c r="A359" s="2" t="s">
        <v>3073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7">
        <v>0</v>
      </c>
      <c r="I359" t="s">
        <v>78</v>
      </c>
    </row>
    <row r="360" spans="1:9">
      <c r="A360" s="2" t="s">
        <v>3074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7">
        <v>0</v>
      </c>
      <c r="I360" t="s">
        <v>78</v>
      </c>
    </row>
    <row r="361" spans="1:9">
      <c r="A361" s="2" t="s">
        <v>3075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7">
        <v>0</v>
      </c>
      <c r="I361" t="s">
        <v>78</v>
      </c>
    </row>
    <row r="362" spans="1:9">
      <c r="A362" s="2" t="s">
        <v>3076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7">
        <v>-3</v>
      </c>
      <c r="I362" t="s">
        <v>78</v>
      </c>
    </row>
    <row r="363" spans="1:9">
      <c r="A363" s="2" t="s">
        <v>3077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7">
        <v>-3</v>
      </c>
      <c r="I363" t="s">
        <v>78</v>
      </c>
    </row>
    <row r="364" spans="1:9">
      <c r="A364" s="2" t="s">
        <v>3078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7">
        <v>0</v>
      </c>
      <c r="I364" t="s">
        <v>78</v>
      </c>
    </row>
    <row r="365" spans="1:9">
      <c r="A365" s="2" t="s">
        <v>3079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7">
        <v>-3</v>
      </c>
      <c r="I365" t="s">
        <v>78</v>
      </c>
    </row>
    <row r="366" spans="1:9">
      <c r="A366" s="2" t="s">
        <v>3080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7">
        <v>0</v>
      </c>
      <c r="I366" t="s">
        <v>78</v>
      </c>
    </row>
    <row r="367" spans="1:9">
      <c r="A367" s="2" t="s">
        <v>3081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7">
        <v>-3</v>
      </c>
      <c r="I367" t="s">
        <v>78</v>
      </c>
    </row>
    <row r="368" spans="1:9">
      <c r="A368" s="2" t="s">
        <v>3082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7">
        <v>0</v>
      </c>
      <c r="I368" t="s">
        <v>78</v>
      </c>
    </row>
    <row r="369" spans="1:9">
      <c r="A369" s="2" t="s">
        <v>3083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7">
        <v>-3</v>
      </c>
      <c r="I369" t="s">
        <v>78</v>
      </c>
    </row>
    <row r="370" spans="1:9">
      <c r="A370" s="2" t="s">
        <v>3084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7">
        <v>-3</v>
      </c>
      <c r="I370" t="s">
        <v>78</v>
      </c>
    </row>
    <row r="371" spans="1:9">
      <c r="A371" s="2" t="s">
        <v>3085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7">
        <v>-3</v>
      </c>
      <c r="I371" t="s">
        <v>78</v>
      </c>
    </row>
    <row r="372" spans="1:9">
      <c r="A372" s="2" t="s">
        <v>3086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7">
        <v>0</v>
      </c>
      <c r="I372" t="s">
        <v>78</v>
      </c>
    </row>
    <row r="373" spans="1:9">
      <c r="A373" s="2" t="s">
        <v>3087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7">
        <v>0</v>
      </c>
      <c r="I373" t="s">
        <v>78</v>
      </c>
    </row>
    <row r="374" spans="1:9">
      <c r="A374" s="2" t="s">
        <v>3088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7">
        <v>0</v>
      </c>
      <c r="I374" t="s">
        <v>78</v>
      </c>
    </row>
    <row r="375" spans="1:9">
      <c r="A375" s="2" t="s">
        <v>3089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7">
        <v>0</v>
      </c>
      <c r="I375" t="s">
        <v>78</v>
      </c>
    </row>
    <row r="376" spans="1:9">
      <c r="A376" s="2" t="s">
        <v>3090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7">
        <v>0</v>
      </c>
      <c r="I376" t="s">
        <v>78</v>
      </c>
    </row>
    <row r="377" spans="1:9">
      <c r="A377" s="2" t="s">
        <v>3091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7">
        <v>0</v>
      </c>
      <c r="I377" t="s">
        <v>78</v>
      </c>
    </row>
    <row r="378" spans="1:9">
      <c r="A378" s="2" t="s">
        <v>3092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7">
        <v>0</v>
      </c>
      <c r="I378" t="s">
        <v>78</v>
      </c>
    </row>
    <row r="379" spans="1:9">
      <c r="A379" s="2" t="s">
        <v>3093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7">
        <v>0</v>
      </c>
      <c r="I379" t="s">
        <v>78</v>
      </c>
    </row>
    <row r="380" spans="1:9">
      <c r="A380" s="2" t="s">
        <v>3094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7">
        <v>0</v>
      </c>
      <c r="I380" t="s">
        <v>78</v>
      </c>
    </row>
    <row r="381" spans="1:9">
      <c r="A381" s="2" t="s">
        <v>3095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7">
        <v>0</v>
      </c>
      <c r="I381" t="s">
        <v>78</v>
      </c>
    </row>
    <row r="382" spans="1:9">
      <c r="A382" s="2" t="s">
        <v>3096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7">
        <v>0</v>
      </c>
      <c r="I382" t="s">
        <v>78</v>
      </c>
    </row>
    <row r="383" spans="1:9">
      <c r="A383" s="2" t="s">
        <v>3097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7">
        <v>0</v>
      </c>
      <c r="I383" t="s">
        <v>78</v>
      </c>
    </row>
    <row r="384" spans="1:9">
      <c r="A384" s="2" t="s">
        <v>3098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7">
        <v>0</v>
      </c>
      <c r="I384" t="s">
        <v>78</v>
      </c>
    </row>
    <row r="385" spans="1:9">
      <c r="A385" s="2" t="s">
        <v>3099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7">
        <v>-3</v>
      </c>
      <c r="I385" t="s">
        <v>78</v>
      </c>
    </row>
    <row r="386" spans="1:9">
      <c r="A386" s="2" t="s">
        <v>3100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7">
        <v>0</v>
      </c>
      <c r="I386" t="s">
        <v>78</v>
      </c>
    </row>
    <row r="387" spans="1:9">
      <c r="A387" s="2" t="s">
        <v>3101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7">
        <v>0</v>
      </c>
      <c r="I387" t="s">
        <v>78</v>
      </c>
    </row>
    <row r="388" spans="1:9">
      <c r="A388" s="2" t="s">
        <v>3102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7">
        <v>0</v>
      </c>
      <c r="I388" t="s">
        <v>78</v>
      </c>
    </row>
    <row r="389" spans="1:9">
      <c r="A389" s="2" t="s">
        <v>3103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7">
        <v>-3</v>
      </c>
      <c r="I389" t="s">
        <v>78</v>
      </c>
    </row>
    <row r="390" spans="1:9">
      <c r="A390" s="2" t="s">
        <v>3104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7">
        <v>0</v>
      </c>
      <c r="I390" t="s">
        <v>78</v>
      </c>
    </row>
    <row r="391" spans="1:9">
      <c r="A391" s="2" t="s">
        <v>3105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7">
        <v>-3</v>
      </c>
      <c r="I391" t="s">
        <v>78</v>
      </c>
    </row>
    <row r="392" spans="1:9">
      <c r="A392" s="2" t="s">
        <v>3106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7">
        <v>-3</v>
      </c>
      <c r="I392" t="s">
        <v>78</v>
      </c>
    </row>
    <row r="393" spans="1:9">
      <c r="A393" s="2" t="s">
        <v>3107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7">
        <v>-3</v>
      </c>
      <c r="I393" t="s">
        <v>78</v>
      </c>
    </row>
    <row r="394" spans="1:9">
      <c r="A394" s="2" t="s">
        <v>3108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7">
        <v>-3</v>
      </c>
      <c r="I394" t="s">
        <v>78</v>
      </c>
    </row>
    <row r="395" spans="1:9">
      <c r="A395" s="2" t="s">
        <v>3109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7">
        <v>0</v>
      </c>
      <c r="I395" t="s">
        <v>78</v>
      </c>
    </row>
    <row r="396" spans="1:9">
      <c r="A396" s="2" t="s">
        <v>3110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7">
        <v>-3</v>
      </c>
      <c r="I396" t="s">
        <v>78</v>
      </c>
    </row>
    <row r="397" spans="1:9">
      <c r="A397" s="2" t="s">
        <v>3111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7">
        <v>-3</v>
      </c>
      <c r="I397" t="s">
        <v>78</v>
      </c>
    </row>
    <row r="398" spans="1:9">
      <c r="A398" s="2" t="s">
        <v>3112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7">
        <v>0</v>
      </c>
      <c r="I398" t="s">
        <v>78</v>
      </c>
    </row>
    <row r="399" spans="1:9">
      <c r="A399" s="2" t="s">
        <v>3113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7">
        <v>-3</v>
      </c>
      <c r="I399" t="s">
        <v>78</v>
      </c>
    </row>
    <row r="400" spans="1:9">
      <c r="A400" s="2" t="s">
        <v>3114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7">
        <v>-3</v>
      </c>
      <c r="I400" t="s">
        <v>78</v>
      </c>
    </row>
    <row r="401" spans="1:9">
      <c r="A401" s="2" t="s">
        <v>3115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7">
        <v>-3</v>
      </c>
      <c r="I401" t="s">
        <v>78</v>
      </c>
    </row>
    <row r="402" spans="1:9">
      <c r="A402" s="2" t="s">
        <v>3116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7">
        <v>-3</v>
      </c>
      <c r="I402" t="s">
        <v>78</v>
      </c>
    </row>
    <row r="403" spans="1:9">
      <c r="A403" s="2" t="s">
        <v>3117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7">
        <v>-3</v>
      </c>
      <c r="I403" t="s">
        <v>78</v>
      </c>
    </row>
    <row r="404" spans="1:9">
      <c r="A404" s="2" t="s">
        <v>3118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7">
        <v>-3</v>
      </c>
      <c r="I404" t="s">
        <v>78</v>
      </c>
    </row>
    <row r="405" spans="1:9">
      <c r="A405" s="2" t="s">
        <v>3119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7">
        <v>0</v>
      </c>
      <c r="I405" t="s">
        <v>78</v>
      </c>
    </row>
    <row r="406" spans="1:9">
      <c r="A406" s="2" t="s">
        <v>3120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7">
        <v>0</v>
      </c>
      <c r="I406" t="s">
        <v>78</v>
      </c>
    </row>
    <row r="407" spans="1:9">
      <c r="A407" s="2" t="s">
        <v>3121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7">
        <v>0</v>
      </c>
      <c r="I407" t="s">
        <v>78</v>
      </c>
    </row>
    <row r="408" spans="1:9">
      <c r="A408" s="2" t="s">
        <v>3122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7">
        <v>0</v>
      </c>
      <c r="I408" t="s">
        <v>78</v>
      </c>
    </row>
    <row r="409" spans="1:9">
      <c r="A409" s="2" t="s">
        <v>3123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7">
        <v>0</v>
      </c>
      <c r="I409" t="s">
        <v>78</v>
      </c>
    </row>
    <row r="410" spans="1:9">
      <c r="A410" s="2" t="s">
        <v>3124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7">
        <v>-3</v>
      </c>
      <c r="I410" t="s">
        <v>78</v>
      </c>
    </row>
    <row r="411" spans="1:9">
      <c r="A411" s="2" t="s">
        <v>3125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7">
        <v>0</v>
      </c>
      <c r="I411" t="s">
        <v>78</v>
      </c>
    </row>
    <row r="412" spans="1:9">
      <c r="A412" s="2" t="s">
        <v>3126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7">
        <v>0</v>
      </c>
      <c r="I412" t="s">
        <v>78</v>
      </c>
    </row>
    <row r="413" spans="1:9">
      <c r="A413" s="2" t="s">
        <v>3127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7">
        <v>0</v>
      </c>
      <c r="I413" t="s">
        <v>78</v>
      </c>
    </row>
    <row r="414" spans="1:9">
      <c r="A414" s="2" t="s">
        <v>3128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7">
        <v>0</v>
      </c>
      <c r="I414" t="s">
        <v>78</v>
      </c>
    </row>
    <row r="415" spans="1:9">
      <c r="A415" s="2" t="s">
        <v>3129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7">
        <v>-3</v>
      </c>
      <c r="I415" t="s">
        <v>78</v>
      </c>
    </row>
    <row r="416" spans="1:9">
      <c r="A416" s="2" t="s">
        <v>3130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7">
        <v>0</v>
      </c>
      <c r="I416" t="s">
        <v>78</v>
      </c>
    </row>
    <row r="417" spans="1:9">
      <c r="A417" s="2" t="s">
        <v>3131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7">
        <v>-3</v>
      </c>
      <c r="I417" t="s">
        <v>78</v>
      </c>
    </row>
    <row r="418" spans="1:9">
      <c r="A418" s="2" t="s">
        <v>3132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7">
        <v>0</v>
      </c>
      <c r="I418" t="s">
        <v>78</v>
      </c>
    </row>
    <row r="419" spans="1:9">
      <c r="A419" s="2" t="s">
        <v>3133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7">
        <v>-3</v>
      </c>
      <c r="I419" t="s">
        <v>78</v>
      </c>
    </row>
    <row r="420" spans="1:9">
      <c r="A420" s="2" t="s">
        <v>3134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7">
        <v>0</v>
      </c>
      <c r="I420" t="s">
        <v>78</v>
      </c>
    </row>
    <row r="421" spans="1:9">
      <c r="A421" s="2" t="s">
        <v>3135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7">
        <v>-3</v>
      </c>
      <c r="I421" t="s">
        <v>78</v>
      </c>
    </row>
    <row r="422" spans="1:9">
      <c r="A422" s="2" t="s">
        <v>3136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7">
        <v>0</v>
      </c>
      <c r="I422" t="s">
        <v>78</v>
      </c>
    </row>
    <row r="423" spans="1:9">
      <c r="A423" s="2" t="s">
        <v>3137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7">
        <v>-3</v>
      </c>
      <c r="I423" t="s">
        <v>78</v>
      </c>
    </row>
    <row r="424" spans="1:9">
      <c r="A424" s="2" t="s">
        <v>3138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7">
        <v>0</v>
      </c>
      <c r="I424" t="s">
        <v>78</v>
      </c>
    </row>
    <row r="425" spans="1:9">
      <c r="A425" s="2" t="s">
        <v>3139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7">
        <v>0</v>
      </c>
      <c r="I425" t="s">
        <v>78</v>
      </c>
    </row>
    <row r="426" spans="1:9">
      <c r="A426" s="2" t="s">
        <v>3538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7">
        <v>-3</v>
      </c>
      <c r="I426" t="s">
        <v>78</v>
      </c>
    </row>
    <row r="427" spans="1:9">
      <c r="A427" s="2" t="s">
        <v>3140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7">
        <v>-3</v>
      </c>
      <c r="I427" t="s">
        <v>78</v>
      </c>
    </row>
    <row r="428" spans="1:9">
      <c r="A428" s="2" t="s">
        <v>3141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7">
        <v>0</v>
      </c>
      <c r="I428" t="s">
        <v>78</v>
      </c>
    </row>
    <row r="429" spans="1:9">
      <c r="A429" s="2" t="s">
        <v>3142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7">
        <v>0</v>
      </c>
      <c r="I429" t="s">
        <v>78</v>
      </c>
    </row>
    <row r="430" spans="1:9">
      <c r="A430" s="2" t="s">
        <v>3143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7">
        <v>0</v>
      </c>
      <c r="I430" t="s">
        <v>78</v>
      </c>
    </row>
    <row r="431" spans="1:9">
      <c r="A431" s="2" t="s">
        <v>3144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7">
        <v>0</v>
      </c>
      <c r="I431" t="s">
        <v>78</v>
      </c>
    </row>
    <row r="432" spans="1:9">
      <c r="A432" s="2" t="s">
        <v>3145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7">
        <v>0</v>
      </c>
      <c r="I432" t="s">
        <v>78</v>
      </c>
    </row>
    <row r="433" spans="1:9">
      <c r="A433" s="2" t="s">
        <v>3146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7">
        <v>0</v>
      </c>
      <c r="I433" t="s">
        <v>78</v>
      </c>
    </row>
    <row r="434" spans="1:9">
      <c r="A434" s="2" t="s">
        <v>3147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7">
        <v>0</v>
      </c>
      <c r="I434" t="s">
        <v>78</v>
      </c>
    </row>
    <row r="435" spans="1:9">
      <c r="A435" s="2" t="s">
        <v>3148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7">
        <v>0</v>
      </c>
      <c r="I435" t="s">
        <v>78</v>
      </c>
    </row>
    <row r="436" spans="1:9">
      <c r="A436" s="2" t="s">
        <v>3149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7">
        <v>0</v>
      </c>
      <c r="I436" t="s">
        <v>78</v>
      </c>
    </row>
    <row r="437" spans="1:9">
      <c r="A437" s="2" t="s">
        <v>3150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7">
        <v>-3</v>
      </c>
      <c r="I437" t="s">
        <v>78</v>
      </c>
    </row>
    <row r="438" spans="1:9">
      <c r="A438" s="2" t="s">
        <v>3151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7">
        <v>-3</v>
      </c>
      <c r="I438" t="s">
        <v>78</v>
      </c>
    </row>
    <row r="439" spans="1:9">
      <c r="A439" s="2" t="s">
        <v>3152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7">
        <v>0</v>
      </c>
      <c r="I439" t="s">
        <v>78</v>
      </c>
    </row>
    <row r="440" spans="1:9">
      <c r="A440" s="2" t="s">
        <v>3153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7">
        <v>-3</v>
      </c>
      <c r="I440" t="s">
        <v>78</v>
      </c>
    </row>
    <row r="441" spans="1:9">
      <c r="A441" s="2" t="s">
        <v>3154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7">
        <v>0</v>
      </c>
      <c r="I441" t="s">
        <v>78</v>
      </c>
    </row>
    <row r="442" spans="1:9">
      <c r="A442" s="2" t="s">
        <v>3155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7">
        <v>0</v>
      </c>
      <c r="I442" t="s">
        <v>78</v>
      </c>
    </row>
    <row r="443" spans="1:9">
      <c r="A443" s="2" t="s">
        <v>3156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7">
        <v>0</v>
      </c>
      <c r="I443" t="s">
        <v>78</v>
      </c>
    </row>
    <row r="444" spans="1:9">
      <c r="A444" s="2" t="s">
        <v>3157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7">
        <v>0</v>
      </c>
      <c r="I444" t="s">
        <v>78</v>
      </c>
    </row>
    <row r="445" spans="1:9">
      <c r="A445" s="2" t="s">
        <v>3158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7">
        <v>-3</v>
      </c>
      <c r="I445" t="s">
        <v>78</v>
      </c>
    </row>
    <row r="446" spans="1:9">
      <c r="A446" s="2" t="s">
        <v>3159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7">
        <v>-3</v>
      </c>
      <c r="I446" t="s">
        <v>78</v>
      </c>
    </row>
    <row r="447" spans="1:9">
      <c r="A447" s="2" t="s">
        <v>3160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7">
        <v>0</v>
      </c>
      <c r="I447" t="s">
        <v>78</v>
      </c>
    </row>
    <row r="448" spans="1:9">
      <c r="A448" s="2" t="s">
        <v>3161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7">
        <v>0</v>
      </c>
      <c r="I448" t="s">
        <v>78</v>
      </c>
    </row>
    <row r="449" spans="1:9">
      <c r="A449" s="2" t="s">
        <v>3162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7">
        <v>-3</v>
      </c>
      <c r="I449" t="s">
        <v>78</v>
      </c>
    </row>
    <row r="450" spans="1:9">
      <c r="A450" s="2" t="s">
        <v>3163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7">
        <v>0</v>
      </c>
      <c r="I450" t="s">
        <v>78</v>
      </c>
    </row>
    <row r="451" spans="1:9">
      <c r="A451" s="2" t="s">
        <v>3164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7">
        <v>-3</v>
      </c>
      <c r="I451" t="s">
        <v>78</v>
      </c>
    </row>
    <row r="452" spans="1:9">
      <c r="A452" s="2" t="s">
        <v>3165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7">
        <v>-3</v>
      </c>
      <c r="I452" t="s">
        <v>78</v>
      </c>
    </row>
    <row r="453" spans="1:9">
      <c r="A453" s="2" t="s">
        <v>3166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7">
        <v>0</v>
      </c>
      <c r="I453" t="s">
        <v>78</v>
      </c>
    </row>
    <row r="454" spans="1:9">
      <c r="A454" s="2" t="s">
        <v>3167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7">
        <v>0</v>
      </c>
      <c r="I454" t="s">
        <v>78</v>
      </c>
    </row>
    <row r="455" spans="1:9">
      <c r="A455" s="2" t="s">
        <v>3168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7">
        <v>0</v>
      </c>
      <c r="I455" t="s">
        <v>78</v>
      </c>
    </row>
    <row r="456" spans="1:9">
      <c r="A456" s="2" t="s">
        <v>3169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7">
        <v>0</v>
      </c>
      <c r="I456" t="s">
        <v>78</v>
      </c>
    </row>
    <row r="457" spans="1:9">
      <c r="A457" s="2" t="s">
        <v>3170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7">
        <v>0</v>
      </c>
      <c r="I457" t="s">
        <v>78</v>
      </c>
    </row>
    <row r="458" spans="1:9">
      <c r="A458" s="2" t="s">
        <v>3171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7">
        <v>0</v>
      </c>
      <c r="I458" t="s">
        <v>78</v>
      </c>
    </row>
    <row r="459" spans="1:9">
      <c r="A459" s="2" t="s">
        <v>3172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7">
        <v>0</v>
      </c>
      <c r="I459" t="s">
        <v>78</v>
      </c>
    </row>
    <row r="460" spans="1:9">
      <c r="A460" s="2" t="s">
        <v>3173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7">
        <v>0</v>
      </c>
      <c r="I460" t="s">
        <v>78</v>
      </c>
    </row>
    <row r="461" spans="1:9">
      <c r="A461" s="2" t="s">
        <v>3174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7">
        <v>0</v>
      </c>
      <c r="I461" t="s">
        <v>78</v>
      </c>
    </row>
    <row r="462" spans="1:9">
      <c r="A462" s="2" t="s">
        <v>3175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7">
        <v>0</v>
      </c>
      <c r="I462" t="s">
        <v>78</v>
      </c>
    </row>
    <row r="463" spans="1:9">
      <c r="A463" s="2" t="s">
        <v>3176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7">
        <v>0</v>
      </c>
      <c r="I463" t="s">
        <v>78</v>
      </c>
    </row>
    <row r="464" spans="1:9">
      <c r="A464" s="2" t="s">
        <v>3177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7">
        <v>0</v>
      </c>
      <c r="I464" t="s">
        <v>78</v>
      </c>
    </row>
    <row r="465" spans="1:9">
      <c r="A465" s="2" t="s">
        <v>3178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7">
        <v>0</v>
      </c>
      <c r="I465" t="s">
        <v>78</v>
      </c>
    </row>
    <row r="466" spans="1:9">
      <c r="A466" s="2" t="s">
        <v>3179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7">
        <v>0</v>
      </c>
      <c r="I466" t="s">
        <v>78</v>
      </c>
    </row>
    <row r="467" spans="1:9">
      <c r="A467" s="2" t="s">
        <v>3180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7">
        <v>0</v>
      </c>
      <c r="I467" t="s">
        <v>78</v>
      </c>
    </row>
    <row r="468" spans="1:9">
      <c r="A468" s="2" t="s">
        <v>3181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7">
        <v>0</v>
      </c>
      <c r="I468" t="s">
        <v>78</v>
      </c>
    </row>
    <row r="469" spans="1:9">
      <c r="A469" s="2" t="s">
        <v>3182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7">
        <v>0</v>
      </c>
      <c r="I469" t="s">
        <v>78</v>
      </c>
    </row>
    <row r="470" spans="1:9">
      <c r="A470" s="2" t="s">
        <v>3183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7">
        <v>0</v>
      </c>
      <c r="I470" t="s">
        <v>78</v>
      </c>
    </row>
    <row r="471" spans="1:9">
      <c r="A471" s="2" t="s">
        <v>3184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7">
        <v>0</v>
      </c>
      <c r="I471" t="s">
        <v>78</v>
      </c>
    </row>
    <row r="472" spans="1:9">
      <c r="A472" s="2" t="s">
        <v>3185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7">
        <v>0</v>
      </c>
      <c r="I472" t="s">
        <v>78</v>
      </c>
    </row>
    <row r="473" spans="1:9">
      <c r="A473" s="2" t="s">
        <v>3186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7">
        <v>0</v>
      </c>
      <c r="I473" t="s">
        <v>78</v>
      </c>
    </row>
    <row r="474" spans="1:9">
      <c r="A474" s="2" t="s">
        <v>3187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7">
        <v>0</v>
      </c>
      <c r="I474" t="s">
        <v>78</v>
      </c>
    </row>
    <row r="475" spans="1:9">
      <c r="A475" s="2" t="s">
        <v>3188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7">
        <v>0</v>
      </c>
      <c r="I475" t="s">
        <v>78</v>
      </c>
    </row>
    <row r="476" spans="1:9">
      <c r="A476" s="2" t="s">
        <v>3189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7">
        <v>0</v>
      </c>
      <c r="I476" t="s">
        <v>78</v>
      </c>
    </row>
    <row r="477" spans="1:9">
      <c r="A477" s="2" t="s">
        <v>3190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7">
        <v>0</v>
      </c>
      <c r="I477" t="s">
        <v>78</v>
      </c>
    </row>
    <row r="478" spans="1:9">
      <c r="A478" s="2" t="s">
        <v>3191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7">
        <v>0</v>
      </c>
      <c r="I478" t="s">
        <v>78</v>
      </c>
    </row>
    <row r="479" spans="1:9">
      <c r="A479" s="2" t="s">
        <v>3192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7">
        <v>0</v>
      </c>
      <c r="I479" t="s">
        <v>78</v>
      </c>
    </row>
    <row r="480" spans="1:9">
      <c r="A480" s="2" t="s">
        <v>3193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7">
        <v>0</v>
      </c>
      <c r="I480" t="s">
        <v>78</v>
      </c>
    </row>
    <row r="481" spans="1:9">
      <c r="A481" s="2" t="s">
        <v>3194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7">
        <v>0</v>
      </c>
      <c r="I481" t="s">
        <v>78</v>
      </c>
    </row>
    <row r="482" spans="1:9">
      <c r="A482" s="2" t="s">
        <v>3195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7">
        <v>0</v>
      </c>
      <c r="I482" t="s">
        <v>78</v>
      </c>
    </row>
    <row r="483" spans="1:9">
      <c r="A483" s="2" t="s">
        <v>3196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7">
        <v>0</v>
      </c>
      <c r="I483" t="s">
        <v>78</v>
      </c>
    </row>
    <row r="484" spans="1:9">
      <c r="A484" s="2" t="s">
        <v>3197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7">
        <v>0</v>
      </c>
      <c r="I484" t="s">
        <v>78</v>
      </c>
    </row>
    <row r="485" spans="1:9">
      <c r="A485" s="2" t="s">
        <v>3198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7">
        <v>0</v>
      </c>
      <c r="I485" t="s">
        <v>78</v>
      </c>
    </row>
    <row r="486" spans="1:9">
      <c r="A486" s="2" t="s">
        <v>3199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7">
        <v>0</v>
      </c>
      <c r="I486" t="s">
        <v>78</v>
      </c>
    </row>
    <row r="487" spans="1:9">
      <c r="A487" s="2" t="s">
        <v>3200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7">
        <v>0</v>
      </c>
      <c r="I487" t="s">
        <v>78</v>
      </c>
    </row>
    <row r="488" spans="1:9">
      <c r="A488" s="2" t="s">
        <v>3201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7">
        <v>0</v>
      </c>
      <c r="I488" t="s">
        <v>78</v>
      </c>
    </row>
    <row r="489" spans="1:9">
      <c r="A489" s="2" t="s">
        <v>3202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7">
        <v>0</v>
      </c>
      <c r="I489" t="s">
        <v>78</v>
      </c>
    </row>
    <row r="490" spans="1:9">
      <c r="A490" s="2" t="s">
        <v>3203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7">
        <v>0</v>
      </c>
      <c r="I490" t="s">
        <v>78</v>
      </c>
    </row>
    <row r="491" spans="1:9">
      <c r="A491" s="2" t="s">
        <v>3204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7">
        <v>0</v>
      </c>
      <c r="I491" t="s">
        <v>78</v>
      </c>
    </row>
    <row r="492" spans="1:9">
      <c r="A492" s="2" t="s">
        <v>3205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7">
        <v>0</v>
      </c>
      <c r="I492" t="s">
        <v>78</v>
      </c>
    </row>
    <row r="493" spans="1:9">
      <c r="A493" s="2" t="s">
        <v>3206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7">
        <v>0</v>
      </c>
      <c r="I493" t="s">
        <v>78</v>
      </c>
    </row>
    <row r="494" spans="1:9">
      <c r="A494" s="2" t="s">
        <v>3207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7">
        <v>0</v>
      </c>
      <c r="I494" t="s">
        <v>78</v>
      </c>
    </row>
    <row r="495" spans="1:9">
      <c r="A495" s="2" t="s">
        <v>3208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7">
        <v>0</v>
      </c>
      <c r="I495" t="s">
        <v>78</v>
      </c>
    </row>
    <row r="496" spans="1:9">
      <c r="A496" s="2" t="s">
        <v>3209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7">
        <v>0</v>
      </c>
      <c r="I496" t="s">
        <v>78</v>
      </c>
    </row>
    <row r="497" spans="1:9">
      <c r="A497" s="2" t="s">
        <v>3210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7">
        <v>0</v>
      </c>
      <c r="I497" t="s">
        <v>78</v>
      </c>
    </row>
    <row r="498" spans="1:9">
      <c r="A498" s="2" t="s">
        <v>3211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7">
        <v>0</v>
      </c>
      <c r="I498" t="s">
        <v>78</v>
      </c>
    </row>
    <row r="499" spans="1:9">
      <c r="A499" s="2" t="s">
        <v>3212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7">
        <v>0</v>
      </c>
      <c r="I499" t="s">
        <v>78</v>
      </c>
    </row>
    <row r="500" spans="1:9">
      <c r="A500" s="2" t="s">
        <v>3213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7">
        <v>0</v>
      </c>
      <c r="I500" t="s">
        <v>78</v>
      </c>
    </row>
    <row r="501" spans="1:9">
      <c r="A501" s="2" t="s">
        <v>3214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7">
        <v>0</v>
      </c>
      <c r="I501" t="s">
        <v>78</v>
      </c>
    </row>
    <row r="502" spans="1:9">
      <c r="A502" s="2" t="s">
        <v>3215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7">
        <v>0</v>
      </c>
      <c r="I502" t="s">
        <v>78</v>
      </c>
    </row>
    <row r="503" spans="1:9">
      <c r="A503" s="2" t="s">
        <v>3216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7">
        <v>0</v>
      </c>
      <c r="I503" t="s">
        <v>78</v>
      </c>
    </row>
    <row r="504" spans="1:9">
      <c r="A504" s="2" t="s">
        <v>3217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7">
        <v>0</v>
      </c>
      <c r="I504" t="s">
        <v>78</v>
      </c>
    </row>
    <row r="505" spans="1:9">
      <c r="A505" s="2" t="s">
        <v>3218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7">
        <v>0</v>
      </c>
      <c r="I505" t="s">
        <v>78</v>
      </c>
    </row>
    <row r="506" spans="1:9">
      <c r="A506" s="2" t="s">
        <v>3219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7">
        <v>0</v>
      </c>
      <c r="I506" t="s">
        <v>78</v>
      </c>
    </row>
    <row r="507" spans="1:9">
      <c r="A507" s="2" t="s">
        <v>3220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7">
        <v>0</v>
      </c>
      <c r="I507" t="s">
        <v>78</v>
      </c>
    </row>
    <row r="508" spans="1:9">
      <c r="A508" s="2" t="s">
        <v>3221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7">
        <v>0</v>
      </c>
      <c r="I508" t="s">
        <v>78</v>
      </c>
    </row>
    <row r="509" spans="1:9">
      <c r="A509" s="2" t="s">
        <v>3222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7">
        <v>0</v>
      </c>
      <c r="I509" t="s">
        <v>78</v>
      </c>
    </row>
    <row r="510" spans="1:9">
      <c r="A510" s="2" t="s">
        <v>3223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7">
        <v>0</v>
      </c>
      <c r="I510" t="s">
        <v>78</v>
      </c>
    </row>
    <row r="511" spans="1:9">
      <c r="A511" s="2" t="s">
        <v>3224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7">
        <v>0</v>
      </c>
      <c r="I511" t="s">
        <v>78</v>
      </c>
    </row>
    <row r="512" spans="1:9">
      <c r="A512" s="2" t="s">
        <v>3225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7">
        <v>0</v>
      </c>
      <c r="I512" t="s">
        <v>78</v>
      </c>
    </row>
    <row r="513" spans="1:9">
      <c r="A513" s="2" t="s">
        <v>3226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7">
        <v>0</v>
      </c>
      <c r="I513" t="s">
        <v>78</v>
      </c>
    </row>
    <row r="514" spans="1:9">
      <c r="A514" s="2" t="s">
        <v>3227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7">
        <v>0</v>
      </c>
      <c r="I514" t="s">
        <v>78</v>
      </c>
    </row>
    <row r="515" spans="1:9">
      <c r="A515" s="2" t="s">
        <v>3228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7">
        <v>0</v>
      </c>
      <c r="I515" t="s">
        <v>78</v>
      </c>
    </row>
    <row r="516" spans="1:9">
      <c r="A516" s="2" t="s">
        <v>3229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7">
        <v>0</v>
      </c>
      <c r="I516" t="s">
        <v>78</v>
      </c>
    </row>
    <row r="517" spans="1:9">
      <c r="A517" s="2" t="s">
        <v>3230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7">
        <v>0</v>
      </c>
      <c r="I517" t="s">
        <v>78</v>
      </c>
    </row>
    <row r="518" spans="1:9">
      <c r="A518" s="2" t="s">
        <v>3231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7">
        <v>0</v>
      </c>
      <c r="I518" t="s">
        <v>78</v>
      </c>
    </row>
    <row r="519" spans="1:9">
      <c r="A519" s="2" t="s">
        <v>3232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7">
        <v>0</v>
      </c>
      <c r="I519" t="s">
        <v>78</v>
      </c>
    </row>
    <row r="520" spans="1:9">
      <c r="A520" s="2" t="s">
        <v>3233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7">
        <v>0</v>
      </c>
      <c r="I520" t="s">
        <v>78</v>
      </c>
    </row>
    <row r="521" spans="1:9">
      <c r="A521" s="2" t="s">
        <v>3234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7">
        <v>0</v>
      </c>
      <c r="I521" t="s">
        <v>78</v>
      </c>
    </row>
    <row r="522" spans="1:9">
      <c r="A522" s="2" t="s">
        <v>3235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7">
        <v>0</v>
      </c>
      <c r="I522" t="s">
        <v>78</v>
      </c>
    </row>
    <row r="523" spans="1:9">
      <c r="A523" s="2" t="s">
        <v>3236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7">
        <v>0</v>
      </c>
      <c r="I523" t="s">
        <v>78</v>
      </c>
    </row>
    <row r="524" spans="1:9">
      <c r="A524" s="2" t="s">
        <v>3237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7">
        <v>0</v>
      </c>
      <c r="I524" t="s">
        <v>78</v>
      </c>
    </row>
    <row r="525" spans="1:9">
      <c r="A525" s="2" t="s">
        <v>3238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7">
        <v>0</v>
      </c>
      <c r="I525" t="s">
        <v>78</v>
      </c>
    </row>
    <row r="526" spans="1:9">
      <c r="A526" s="2" t="s">
        <v>3239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7">
        <v>0</v>
      </c>
      <c r="I526" t="s">
        <v>78</v>
      </c>
    </row>
    <row r="527" spans="1:9">
      <c r="A527" s="2" t="s">
        <v>3240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7">
        <v>0</v>
      </c>
      <c r="I527" t="s">
        <v>78</v>
      </c>
    </row>
    <row r="528" spans="1:9">
      <c r="A528" s="2" t="s">
        <v>3241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7">
        <v>0</v>
      </c>
      <c r="I528" t="s">
        <v>78</v>
      </c>
    </row>
    <row r="529" spans="1:9">
      <c r="A529" s="2" t="s">
        <v>3242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7">
        <v>0</v>
      </c>
      <c r="I529" t="s">
        <v>78</v>
      </c>
    </row>
    <row r="530" spans="1:9">
      <c r="A530" s="2" t="s">
        <v>3243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7">
        <v>0</v>
      </c>
      <c r="I530" t="s">
        <v>78</v>
      </c>
    </row>
    <row r="531" spans="1:9">
      <c r="A531" s="2" t="s">
        <v>3244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7">
        <v>0</v>
      </c>
      <c r="I531" t="s">
        <v>78</v>
      </c>
    </row>
    <row r="532" spans="1:9">
      <c r="A532" s="2" t="s">
        <v>3245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7">
        <v>0</v>
      </c>
      <c r="I532" t="s">
        <v>78</v>
      </c>
    </row>
    <row r="533" spans="1:9">
      <c r="A533" s="2" t="s">
        <v>3246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7">
        <v>0</v>
      </c>
      <c r="I533" t="s">
        <v>78</v>
      </c>
    </row>
    <row r="534" spans="1:9">
      <c r="A534" s="2" t="s">
        <v>3247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7">
        <v>0</v>
      </c>
      <c r="I534" t="s">
        <v>78</v>
      </c>
    </row>
    <row r="535" spans="1:9">
      <c r="A535" s="2" t="s">
        <v>3248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7">
        <v>0</v>
      </c>
      <c r="I535" t="s">
        <v>78</v>
      </c>
    </row>
    <row r="536" spans="1:9">
      <c r="A536" s="2" t="s">
        <v>3249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7">
        <v>0</v>
      </c>
      <c r="I536" t="s">
        <v>78</v>
      </c>
    </row>
    <row r="537" spans="1:9">
      <c r="A537" s="2" t="s">
        <v>3250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7">
        <v>0</v>
      </c>
      <c r="I537" t="s">
        <v>78</v>
      </c>
    </row>
    <row r="538" spans="1:9">
      <c r="A538" s="2" t="s">
        <v>3251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7">
        <v>0</v>
      </c>
      <c r="I538" t="s">
        <v>78</v>
      </c>
    </row>
    <row r="539" spans="1:9">
      <c r="A539" s="2" t="s">
        <v>3252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7">
        <v>0</v>
      </c>
      <c r="I539" t="s">
        <v>78</v>
      </c>
    </row>
    <row r="540" spans="1:9">
      <c r="A540" s="2" t="s">
        <v>3253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7">
        <v>0</v>
      </c>
      <c r="I540" t="s">
        <v>78</v>
      </c>
    </row>
    <row r="541" spans="1:9">
      <c r="A541" s="2" t="s">
        <v>3254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7">
        <v>0</v>
      </c>
      <c r="I541" t="s">
        <v>78</v>
      </c>
    </row>
    <row r="542" spans="1:9">
      <c r="A542" s="2" t="s">
        <v>3255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7">
        <v>-3</v>
      </c>
      <c r="I542" t="s">
        <v>78</v>
      </c>
    </row>
    <row r="543" spans="1:9">
      <c r="A543" s="2" t="s">
        <v>3256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7">
        <v>0</v>
      </c>
      <c r="I543" t="s">
        <v>78</v>
      </c>
    </row>
    <row r="544" spans="1:9">
      <c r="A544" s="2" t="s">
        <v>3257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7">
        <v>0</v>
      </c>
      <c r="I544" t="s">
        <v>78</v>
      </c>
    </row>
    <row r="545" spans="1:9">
      <c r="A545" s="2" t="s">
        <v>3258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7">
        <v>0</v>
      </c>
      <c r="I545" t="s">
        <v>78</v>
      </c>
    </row>
    <row r="546" spans="1:9">
      <c r="A546" s="2" t="s">
        <v>3259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7">
        <v>0</v>
      </c>
      <c r="I546" t="s">
        <v>78</v>
      </c>
    </row>
    <row r="547" spans="1:9">
      <c r="A547" s="2" t="s">
        <v>3526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7">
        <v>0</v>
      </c>
      <c r="I547" t="s">
        <v>78</v>
      </c>
    </row>
    <row r="548" spans="1:9">
      <c r="A548" s="2" t="s">
        <v>3260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7">
        <v>0</v>
      </c>
      <c r="I548" t="s">
        <v>78</v>
      </c>
    </row>
    <row r="549" spans="1:9">
      <c r="A549" s="2" t="s">
        <v>3261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7">
        <v>0</v>
      </c>
      <c r="I549" t="s">
        <v>78</v>
      </c>
    </row>
    <row r="550" spans="1:9">
      <c r="A550" s="2" t="s">
        <v>3262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7">
        <v>0</v>
      </c>
      <c r="I550" t="s">
        <v>78</v>
      </c>
    </row>
    <row r="551" spans="1:9">
      <c r="A551" s="2" t="s">
        <v>3263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7">
        <v>0</v>
      </c>
      <c r="I551" t="s">
        <v>78</v>
      </c>
    </row>
    <row r="552" spans="1:9">
      <c r="A552" s="2" t="s">
        <v>3264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7">
        <v>0</v>
      </c>
      <c r="I552" t="s">
        <v>78</v>
      </c>
    </row>
    <row r="553" spans="1:9">
      <c r="A553" s="2" t="s">
        <v>3265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7">
        <v>0</v>
      </c>
      <c r="I553" t="s">
        <v>78</v>
      </c>
    </row>
    <row r="554" spans="1:9">
      <c r="A554" s="2" t="s">
        <v>3266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7">
        <v>0</v>
      </c>
      <c r="I554" t="s">
        <v>78</v>
      </c>
    </row>
    <row r="555" spans="1:9">
      <c r="A555" s="2" t="s">
        <v>3267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7">
        <v>0</v>
      </c>
      <c r="I555" t="s">
        <v>78</v>
      </c>
    </row>
    <row r="556" spans="1:9">
      <c r="A556" s="2" t="s">
        <v>3268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7">
        <v>0</v>
      </c>
      <c r="I556" t="s">
        <v>78</v>
      </c>
    </row>
    <row r="557" spans="1:9">
      <c r="A557" s="2" t="s">
        <v>3269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7">
        <v>0</v>
      </c>
      <c r="I557" t="s">
        <v>78</v>
      </c>
    </row>
    <row r="558" spans="1:9">
      <c r="A558" s="2" t="s">
        <v>3270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7">
        <v>0</v>
      </c>
      <c r="I558" t="s">
        <v>78</v>
      </c>
    </row>
    <row r="559" spans="1:9">
      <c r="A559" s="2" t="s">
        <v>3271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7">
        <v>-3</v>
      </c>
      <c r="I559" t="s">
        <v>78</v>
      </c>
    </row>
    <row r="560" spans="1:9">
      <c r="A560" s="2" t="s">
        <v>3272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7">
        <v>0</v>
      </c>
      <c r="I560" t="s">
        <v>78</v>
      </c>
    </row>
    <row r="561" spans="1:9">
      <c r="A561" s="2" t="s">
        <v>3273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7">
        <v>0</v>
      </c>
      <c r="I561" t="s">
        <v>78</v>
      </c>
    </row>
    <row r="562" spans="1:9">
      <c r="A562" s="2" t="s">
        <v>3274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7">
        <v>0</v>
      </c>
      <c r="I562" t="s">
        <v>78</v>
      </c>
    </row>
    <row r="563" spans="1:9">
      <c r="A563" s="2" t="s">
        <v>3275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7">
        <v>0</v>
      </c>
      <c r="I563" t="s">
        <v>78</v>
      </c>
    </row>
    <row r="564" spans="1:9">
      <c r="A564" s="2" t="s">
        <v>3276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7">
        <v>0</v>
      </c>
      <c r="I564" t="s">
        <v>78</v>
      </c>
    </row>
    <row r="565" spans="1:9">
      <c r="A565" s="2" t="s">
        <v>3277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7">
        <v>0</v>
      </c>
      <c r="I565" t="s">
        <v>78</v>
      </c>
    </row>
    <row r="566" spans="1:9">
      <c r="A566" s="2" t="s">
        <v>3278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7">
        <v>0</v>
      </c>
      <c r="I566" t="s">
        <v>78</v>
      </c>
    </row>
    <row r="567" spans="1:9">
      <c r="A567" s="2" t="s">
        <v>3279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7">
        <v>0</v>
      </c>
      <c r="I567" t="s">
        <v>78</v>
      </c>
    </row>
    <row r="568" spans="1:9">
      <c r="A568" s="2" t="s">
        <v>3280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7">
        <v>0</v>
      </c>
      <c r="I568" t="s">
        <v>78</v>
      </c>
    </row>
    <row r="569" spans="1:9">
      <c r="A569" s="2" t="s">
        <v>3281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7">
        <v>0</v>
      </c>
      <c r="I569" t="s">
        <v>78</v>
      </c>
    </row>
    <row r="570" spans="1:9">
      <c r="A570" s="2" t="s">
        <v>3282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7">
        <v>0</v>
      </c>
      <c r="I570" t="s">
        <v>78</v>
      </c>
    </row>
    <row r="571" spans="1:9">
      <c r="A571" s="2" t="s">
        <v>3283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7">
        <v>0</v>
      </c>
      <c r="I571" t="s">
        <v>78</v>
      </c>
    </row>
    <row r="572" spans="1:9">
      <c r="A572" s="2" t="s">
        <v>236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7">
        <v>0</v>
      </c>
      <c r="I572" t="s">
        <v>78</v>
      </c>
    </row>
    <row r="573" spans="1:9">
      <c r="A573" s="2" t="s">
        <v>220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7">
        <v>0</v>
      </c>
      <c r="I573" t="s">
        <v>78</v>
      </c>
    </row>
    <row r="574" spans="1:9">
      <c r="A574" s="2" t="s">
        <v>221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7">
        <v>0</v>
      </c>
      <c r="I574" t="s">
        <v>78</v>
      </c>
    </row>
    <row r="575" spans="1:9">
      <c r="A575" s="2" t="s">
        <v>222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7">
        <v>0</v>
      </c>
      <c r="I575" t="s">
        <v>78</v>
      </c>
    </row>
    <row r="576" spans="1:9">
      <c r="A576" s="2" t="s">
        <v>223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7">
        <v>0</v>
      </c>
      <c r="I576" t="s">
        <v>78</v>
      </c>
    </row>
    <row r="577" spans="1:9">
      <c r="A577" s="2" t="s">
        <v>224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7">
        <v>0</v>
      </c>
      <c r="I577" t="s">
        <v>78</v>
      </c>
    </row>
    <row r="578" spans="1:9">
      <c r="A578" s="2" t="s">
        <v>225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7">
        <v>0</v>
      </c>
      <c r="I578" t="s">
        <v>78</v>
      </c>
    </row>
    <row r="579" spans="1:9">
      <c r="A579" s="2" t="s">
        <v>226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7">
        <v>0</v>
      </c>
      <c r="I579" t="s">
        <v>78</v>
      </c>
    </row>
    <row r="580" spans="1:9">
      <c r="A580" s="2" t="s">
        <v>227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7">
        <v>0</v>
      </c>
      <c r="I580" t="s">
        <v>78</v>
      </c>
    </row>
    <row r="581" spans="1:9">
      <c r="A581" s="2" t="s">
        <v>228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7">
        <v>0</v>
      </c>
      <c r="I581" t="s">
        <v>78</v>
      </c>
    </row>
    <row r="582" spans="1:9">
      <c r="A582" s="2" t="s">
        <v>229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7">
        <v>0</v>
      </c>
      <c r="I582" t="s">
        <v>78</v>
      </c>
    </row>
    <row r="583" spans="1:9">
      <c r="A583" s="2" t="s">
        <v>230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7">
        <v>0</v>
      </c>
      <c r="I583" t="s">
        <v>78</v>
      </c>
    </row>
    <row r="584" spans="1:9">
      <c r="A584" s="2" t="s">
        <v>231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7">
        <v>0</v>
      </c>
      <c r="I584" t="s">
        <v>78</v>
      </c>
    </row>
    <row r="585" spans="1:9">
      <c r="A585" s="2" t="s">
        <v>232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7">
        <v>0</v>
      </c>
      <c r="I585" t="s">
        <v>78</v>
      </c>
    </row>
    <row r="586" spans="1:9">
      <c r="A586" s="2" t="s">
        <v>233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7">
        <v>0</v>
      </c>
      <c r="I586" t="s">
        <v>78</v>
      </c>
    </row>
    <row r="587" spans="1:9">
      <c r="A587" s="2" t="s">
        <v>3284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7">
        <v>0</v>
      </c>
      <c r="I587" t="s">
        <v>78</v>
      </c>
    </row>
    <row r="588" spans="1:9">
      <c r="A588" s="2" t="s">
        <v>3285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7">
        <v>0</v>
      </c>
      <c r="I588" t="s">
        <v>78</v>
      </c>
    </row>
    <row r="589" spans="1:9">
      <c r="A589" s="2" t="s">
        <v>3286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7">
        <v>0</v>
      </c>
      <c r="I589" t="s">
        <v>78</v>
      </c>
    </row>
    <row r="590" spans="1:9">
      <c r="A590" s="2" t="s">
        <v>3287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7">
        <v>0</v>
      </c>
      <c r="I590" t="s">
        <v>78</v>
      </c>
    </row>
    <row r="591" spans="1:9">
      <c r="A591" s="2" t="s">
        <v>3288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7">
        <v>0</v>
      </c>
      <c r="I591" t="s">
        <v>78</v>
      </c>
    </row>
    <row r="592" spans="1:9">
      <c r="A592" s="2" t="s">
        <v>3289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7">
        <v>-3</v>
      </c>
      <c r="I592" t="s">
        <v>78</v>
      </c>
    </row>
    <row r="593" spans="1:9">
      <c r="A593" s="2" t="s">
        <v>3290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7">
        <v>0</v>
      </c>
      <c r="I593" t="s">
        <v>78</v>
      </c>
    </row>
    <row r="594" spans="1:9">
      <c r="A594" s="2" t="s">
        <v>3291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7">
        <v>0</v>
      </c>
      <c r="I594" t="s">
        <v>78</v>
      </c>
    </row>
    <row r="595" spans="1:9">
      <c r="A595" s="2" t="s">
        <v>3292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7">
        <v>0</v>
      </c>
      <c r="I595" t="s">
        <v>78</v>
      </c>
    </row>
    <row r="596" spans="1:9">
      <c r="A596" s="2" t="s">
        <v>3293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7">
        <v>0</v>
      </c>
      <c r="I596" t="s">
        <v>78</v>
      </c>
    </row>
    <row r="597" spans="1:9">
      <c r="A597" s="2" t="s">
        <v>3294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7">
        <v>0</v>
      </c>
      <c r="I597" t="s">
        <v>78</v>
      </c>
    </row>
    <row r="598" spans="1:9">
      <c r="A598" s="2" t="s">
        <v>3295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7">
        <v>0</v>
      </c>
      <c r="I598" t="s">
        <v>78</v>
      </c>
    </row>
    <row r="599" spans="1:9">
      <c r="A599" s="2" t="s">
        <v>3296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7">
        <v>0</v>
      </c>
      <c r="I599" t="s">
        <v>78</v>
      </c>
    </row>
    <row r="600" spans="1:9">
      <c r="A600" s="2" t="s">
        <v>3297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7">
        <v>0</v>
      </c>
      <c r="I600" t="s">
        <v>78</v>
      </c>
    </row>
    <row r="601" spans="1:9">
      <c r="A601" s="2" t="s">
        <v>3298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7">
        <v>0</v>
      </c>
      <c r="I601" t="s">
        <v>78</v>
      </c>
    </row>
    <row r="602" spans="1:9">
      <c r="A602" s="2" t="s">
        <v>3299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7">
        <v>0</v>
      </c>
      <c r="I602" t="s">
        <v>78</v>
      </c>
    </row>
    <row r="603" spans="1:9">
      <c r="A603" s="2" t="s">
        <v>3300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7">
        <v>0</v>
      </c>
      <c r="I603" t="s">
        <v>78</v>
      </c>
    </row>
    <row r="604" spans="1:9">
      <c r="A604" s="2" t="s">
        <v>3301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7">
        <v>-3</v>
      </c>
      <c r="I604" t="s">
        <v>78</v>
      </c>
    </row>
    <row r="605" spans="1:9">
      <c r="A605" s="2" t="s">
        <v>3302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7">
        <v>0</v>
      </c>
      <c r="I605" t="s">
        <v>78</v>
      </c>
    </row>
    <row r="606" spans="1:9">
      <c r="A606" s="2" t="s">
        <v>3303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7">
        <v>-3</v>
      </c>
      <c r="I606" t="s">
        <v>78</v>
      </c>
    </row>
    <row r="607" spans="1:9">
      <c r="A607" s="2" t="s">
        <v>3304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7">
        <v>0</v>
      </c>
      <c r="I607" t="s">
        <v>78</v>
      </c>
    </row>
    <row r="608" spans="1:9">
      <c r="A608" s="2" t="s">
        <v>3305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7">
        <v>0</v>
      </c>
      <c r="I608" t="s">
        <v>78</v>
      </c>
    </row>
    <row r="609" spans="1:9">
      <c r="A609" s="2" t="s">
        <v>3306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7">
        <v>0</v>
      </c>
      <c r="I609" t="s">
        <v>78</v>
      </c>
    </row>
    <row r="610" spans="1:9">
      <c r="A610" s="2" t="s">
        <v>3307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7">
        <v>0</v>
      </c>
      <c r="I610" t="s">
        <v>78</v>
      </c>
    </row>
    <row r="611" spans="1:9">
      <c r="A611" s="2" t="s">
        <v>3308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7">
        <v>-3</v>
      </c>
      <c r="I611" t="s">
        <v>78</v>
      </c>
    </row>
    <row r="612" spans="1:9">
      <c r="A612" s="2" t="s">
        <v>3309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7">
        <v>0</v>
      </c>
      <c r="I612" t="s">
        <v>78</v>
      </c>
    </row>
    <row r="613" spans="1:9">
      <c r="A613" s="2" t="s">
        <v>3310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7">
        <v>0</v>
      </c>
      <c r="I613" t="s">
        <v>78</v>
      </c>
    </row>
    <row r="614" spans="1:9">
      <c r="A614" s="2" t="s">
        <v>3311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7">
        <v>0</v>
      </c>
      <c r="I614" t="s">
        <v>78</v>
      </c>
    </row>
    <row r="615" spans="1:9">
      <c r="A615" s="2" t="s">
        <v>3312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7">
        <v>0</v>
      </c>
      <c r="I615" t="s">
        <v>78</v>
      </c>
    </row>
    <row r="616" spans="1:9">
      <c r="A616" s="2" t="s">
        <v>3313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7">
        <v>0</v>
      </c>
      <c r="I616" t="s">
        <v>78</v>
      </c>
    </row>
    <row r="617" spans="1:9">
      <c r="A617" s="2" t="s">
        <v>3314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7">
        <v>0</v>
      </c>
      <c r="I617" t="s">
        <v>78</v>
      </c>
    </row>
    <row r="618" spans="1:9">
      <c r="A618" s="2" t="s">
        <v>3315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7">
        <v>0</v>
      </c>
      <c r="I618" t="s">
        <v>78</v>
      </c>
    </row>
    <row r="619" spans="1:9">
      <c r="A619" s="2" t="s">
        <v>3316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7">
        <v>0</v>
      </c>
      <c r="I619" t="s">
        <v>78</v>
      </c>
    </row>
    <row r="620" spans="1:9">
      <c r="A620" s="2" t="s">
        <v>3317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7">
        <v>-3</v>
      </c>
      <c r="I620" t="s">
        <v>78</v>
      </c>
    </row>
    <row r="621" spans="1:9">
      <c r="A621" s="2" t="s">
        <v>3318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7">
        <v>0</v>
      </c>
      <c r="I621" t="s">
        <v>78</v>
      </c>
    </row>
    <row r="622" spans="1:9">
      <c r="A622" s="2" t="s">
        <v>3319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7">
        <v>0</v>
      </c>
      <c r="I622" t="s">
        <v>78</v>
      </c>
    </row>
    <row r="623" spans="1:9">
      <c r="A623" s="2" t="s">
        <v>3561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7">
        <v>0</v>
      </c>
      <c r="I623" t="s">
        <v>78</v>
      </c>
    </row>
    <row r="624" spans="1:9">
      <c r="A624" s="2" t="s">
        <v>3321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7">
        <v>0</v>
      </c>
      <c r="I624" t="s">
        <v>78</v>
      </c>
    </row>
    <row r="625" spans="1:9">
      <c r="A625" s="2" t="s">
        <v>3322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7">
        <v>0</v>
      </c>
      <c r="I625" t="s">
        <v>78</v>
      </c>
    </row>
    <row r="626" spans="1:9">
      <c r="A626" s="2" t="s">
        <v>3323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7">
        <v>0</v>
      </c>
      <c r="I626" t="s">
        <v>78</v>
      </c>
    </row>
    <row r="627" spans="1:9">
      <c r="A627" s="2" t="s">
        <v>3324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7">
        <v>0</v>
      </c>
      <c r="I627" t="s">
        <v>78</v>
      </c>
    </row>
    <row r="628" spans="1:9">
      <c r="A628" s="2" t="s">
        <v>3325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7">
        <v>0</v>
      </c>
      <c r="I628" t="s">
        <v>78</v>
      </c>
    </row>
    <row r="629" spans="1:9">
      <c r="A629" s="2" t="s">
        <v>3326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7">
        <v>0</v>
      </c>
      <c r="I629" t="s">
        <v>78</v>
      </c>
    </row>
    <row r="630" spans="1:9">
      <c r="A630" s="2" t="s">
        <v>3327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7">
        <v>0</v>
      </c>
      <c r="I630" t="s">
        <v>78</v>
      </c>
    </row>
    <row r="631" spans="1:9">
      <c r="A631" s="2" t="s">
        <v>3328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7">
        <v>-3</v>
      </c>
      <c r="I631" t="s">
        <v>78</v>
      </c>
    </row>
    <row r="632" spans="1:9">
      <c r="A632" s="2" t="s">
        <v>3329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7">
        <v>0</v>
      </c>
      <c r="I632" t="s">
        <v>78</v>
      </c>
    </row>
    <row r="633" spans="1:9">
      <c r="A633" s="2" t="s">
        <v>3330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7">
        <v>0</v>
      </c>
      <c r="I633" t="s">
        <v>78</v>
      </c>
    </row>
    <row r="634" spans="1:9">
      <c r="A634" s="2" t="s">
        <v>3331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7">
        <v>0</v>
      </c>
      <c r="I634" t="s">
        <v>78</v>
      </c>
    </row>
    <row r="635" spans="1:9">
      <c r="A635" s="2" t="s">
        <v>3332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7">
        <v>0</v>
      </c>
      <c r="I635" t="s">
        <v>78</v>
      </c>
    </row>
    <row r="636" spans="1:9">
      <c r="A636" s="2" t="s">
        <v>3333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7">
        <v>0</v>
      </c>
      <c r="I636" t="s">
        <v>78</v>
      </c>
    </row>
    <row r="637" spans="1:9">
      <c r="A637" s="2" t="s">
        <v>3334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7">
        <v>-3</v>
      </c>
      <c r="I637" t="s">
        <v>78</v>
      </c>
    </row>
    <row r="638" spans="1:9">
      <c r="A638" s="2" t="s">
        <v>3335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7">
        <v>-3</v>
      </c>
      <c r="I638" t="s">
        <v>78</v>
      </c>
    </row>
    <row r="639" spans="1:9">
      <c r="A639" s="2" t="s">
        <v>3336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7">
        <v>-3</v>
      </c>
      <c r="I639" t="s">
        <v>78</v>
      </c>
    </row>
    <row r="640" spans="1:9">
      <c r="A640" s="2" t="s">
        <v>3337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7">
        <v>-3</v>
      </c>
      <c r="I640" t="s">
        <v>78</v>
      </c>
    </row>
    <row r="641" spans="1:9">
      <c r="A641" s="2" t="s">
        <v>3338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7">
        <v>0</v>
      </c>
      <c r="I641" t="s">
        <v>78</v>
      </c>
    </row>
    <row r="642" spans="1:9">
      <c r="A642" s="2" t="s">
        <v>3339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7">
        <v>0</v>
      </c>
      <c r="I642" t="s">
        <v>78</v>
      </c>
    </row>
    <row r="643" spans="1:9">
      <c r="A643" s="2" t="s">
        <v>3340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7">
        <v>-3</v>
      </c>
      <c r="I643" t="s">
        <v>78</v>
      </c>
    </row>
    <row r="644" spans="1:9">
      <c r="A644" s="2" t="s">
        <v>3341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7">
        <v>-3</v>
      </c>
      <c r="I644" t="s">
        <v>78</v>
      </c>
    </row>
    <row r="645" spans="1:9">
      <c r="A645" s="2" t="s">
        <v>3342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7">
        <v>0</v>
      </c>
      <c r="I645" t="s">
        <v>78</v>
      </c>
    </row>
    <row r="646" spans="1:9">
      <c r="A646" s="2" t="s">
        <v>3343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7">
        <v>0</v>
      </c>
      <c r="I646" t="s">
        <v>78</v>
      </c>
    </row>
    <row r="647" spans="1:9">
      <c r="A647" s="2" t="s">
        <v>3344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7">
        <v>0</v>
      </c>
      <c r="I647" t="s">
        <v>78</v>
      </c>
    </row>
    <row r="648" spans="1:9">
      <c r="A648" s="2" t="s">
        <v>3345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7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7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7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7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7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7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7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7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7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7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7">
        <v>0</v>
      </c>
      <c r="I658" t="s">
        <v>78</v>
      </c>
    </row>
    <row r="659" spans="1:9">
      <c r="A659" s="2" t="s">
        <v>162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7">
        <v>0</v>
      </c>
      <c r="I659" t="s">
        <v>78</v>
      </c>
    </row>
    <row r="660" spans="1:9">
      <c r="A660" s="2" t="s">
        <v>163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7">
        <v>0</v>
      </c>
      <c r="I660" t="s">
        <v>78</v>
      </c>
    </row>
    <row r="661" spans="1:9">
      <c r="A661" s="2" t="s">
        <v>164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7">
        <v>0</v>
      </c>
      <c r="I661" t="s">
        <v>78</v>
      </c>
    </row>
    <row r="662" spans="1:9">
      <c r="A662" s="2" t="s">
        <v>165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7">
        <v>0</v>
      </c>
      <c r="I662" t="s">
        <v>78</v>
      </c>
    </row>
    <row r="663" spans="1:9">
      <c r="A663" s="2" t="s">
        <v>166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7">
        <v>0</v>
      </c>
      <c r="I663" t="s">
        <v>78</v>
      </c>
    </row>
    <row r="664" spans="1:9">
      <c r="A664" s="2" t="s">
        <v>167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7">
        <v>0</v>
      </c>
      <c r="I664" t="s">
        <v>78</v>
      </c>
    </row>
    <row r="665" spans="1:9">
      <c r="A665" s="2" t="s">
        <v>168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7">
        <v>0</v>
      </c>
      <c r="I665" t="s">
        <v>78</v>
      </c>
    </row>
    <row r="666" spans="1:9">
      <c r="A666" s="2" t="s">
        <v>169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7">
        <v>0</v>
      </c>
      <c r="I666" t="s">
        <v>78</v>
      </c>
    </row>
    <row r="667" spans="1:9">
      <c r="A667" s="2" t="s">
        <v>170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7">
        <v>0</v>
      </c>
      <c r="I667" t="s">
        <v>78</v>
      </c>
    </row>
    <row r="668" spans="1:9">
      <c r="A668" s="2" t="s">
        <v>171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7">
        <v>0</v>
      </c>
      <c r="I668" t="s">
        <v>78</v>
      </c>
    </row>
    <row r="669" spans="1:9">
      <c r="A669" s="2" t="s">
        <v>172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7">
        <v>0</v>
      </c>
      <c r="I669" t="s">
        <v>78</v>
      </c>
    </row>
    <row r="670" spans="1:9">
      <c r="A670" s="2" t="s">
        <v>173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7">
        <v>0</v>
      </c>
      <c r="I670" t="s">
        <v>78</v>
      </c>
    </row>
    <row r="671" spans="1:9">
      <c r="A671" s="2" t="s">
        <v>174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7">
        <v>0</v>
      </c>
      <c r="I671" t="s">
        <v>78</v>
      </c>
    </row>
    <row r="672" spans="1:9">
      <c r="A672" s="2" t="s">
        <v>175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7">
        <v>0</v>
      </c>
      <c r="I672" t="s">
        <v>78</v>
      </c>
    </row>
    <row r="673" spans="1:9">
      <c r="A673" s="2" t="s">
        <v>176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7">
        <v>0</v>
      </c>
      <c r="I673" t="s">
        <v>78</v>
      </c>
    </row>
    <row r="674" spans="1:9">
      <c r="A674" s="2" t="s">
        <v>177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7">
        <v>0</v>
      </c>
      <c r="I674" t="s">
        <v>78</v>
      </c>
    </row>
    <row r="675" spans="1:9">
      <c r="A675" s="2" t="s">
        <v>178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7">
        <v>0</v>
      </c>
      <c r="I675" t="s">
        <v>78</v>
      </c>
    </row>
    <row r="676" spans="1:9">
      <c r="A676" s="2" t="s">
        <v>179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7">
        <v>0</v>
      </c>
      <c r="I676" t="s">
        <v>78</v>
      </c>
    </row>
    <row r="677" spans="1:9">
      <c r="A677" s="2" t="s">
        <v>180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7">
        <v>0</v>
      </c>
      <c r="I677" t="s">
        <v>78</v>
      </c>
    </row>
    <row r="678" spans="1:9">
      <c r="A678" s="2" t="s">
        <v>181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7">
        <v>0</v>
      </c>
      <c r="I678" t="s">
        <v>78</v>
      </c>
    </row>
    <row r="679" spans="1:9">
      <c r="A679" s="2" t="s">
        <v>182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7">
        <v>0</v>
      </c>
      <c r="I679" t="s">
        <v>78</v>
      </c>
    </row>
    <row r="680" spans="1:9">
      <c r="A680" s="2" t="s">
        <v>183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7">
        <v>0</v>
      </c>
      <c r="I680" t="s">
        <v>78</v>
      </c>
    </row>
    <row r="681" spans="1:9">
      <c r="A681" s="2" t="s">
        <v>184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7">
        <v>0</v>
      </c>
      <c r="I681" t="s">
        <v>78</v>
      </c>
    </row>
    <row r="682" spans="1:9">
      <c r="A682" s="2" t="s">
        <v>185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7">
        <v>0</v>
      </c>
      <c r="I682" t="s">
        <v>78</v>
      </c>
    </row>
    <row r="683" spans="1:9">
      <c r="A683" s="2" t="s">
        <v>186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7">
        <v>0</v>
      </c>
      <c r="I683" t="s">
        <v>78</v>
      </c>
    </row>
    <row r="684" spans="1:9">
      <c r="A684" s="2" t="s">
        <v>187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7">
        <v>0</v>
      </c>
      <c r="I684" t="s">
        <v>78</v>
      </c>
    </row>
    <row r="685" spans="1:9">
      <c r="A685" s="2" t="s">
        <v>188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7">
        <v>0</v>
      </c>
      <c r="I685" t="s">
        <v>78</v>
      </c>
    </row>
    <row r="686" spans="1:9">
      <c r="A686" s="2" t="s">
        <v>189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7">
        <v>0</v>
      </c>
      <c r="I686" t="s">
        <v>78</v>
      </c>
    </row>
    <row r="687" spans="1:9">
      <c r="A687" s="2" t="s">
        <v>190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7">
        <v>0</v>
      </c>
      <c r="I687" t="s">
        <v>78</v>
      </c>
    </row>
    <row r="688" spans="1:9">
      <c r="A688" s="2" t="s">
        <v>191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7">
        <v>0</v>
      </c>
      <c r="I688" t="s">
        <v>78</v>
      </c>
    </row>
    <row r="689" spans="1:9">
      <c r="A689" s="2" t="s">
        <v>192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7">
        <v>0</v>
      </c>
      <c r="I689" t="s">
        <v>78</v>
      </c>
    </row>
    <row r="690" spans="1:9">
      <c r="A690" s="2" t="s">
        <v>193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7">
        <v>0</v>
      </c>
      <c r="I690" t="s">
        <v>78</v>
      </c>
    </row>
    <row r="691" spans="1:9">
      <c r="A691" s="2" t="s">
        <v>194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7">
        <v>0</v>
      </c>
      <c r="I691" t="s">
        <v>78</v>
      </c>
    </row>
    <row r="692" spans="1:9">
      <c r="A692" s="2" t="s">
        <v>195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7">
        <v>0</v>
      </c>
      <c r="I692" t="s">
        <v>78</v>
      </c>
    </row>
    <row r="693" spans="1:9">
      <c r="A693" s="2" t="s">
        <v>196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7">
        <v>0</v>
      </c>
      <c r="I693" t="s">
        <v>78</v>
      </c>
    </row>
    <row r="694" spans="1:9">
      <c r="A694" s="2" t="s">
        <v>197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7">
        <v>0</v>
      </c>
      <c r="I694" t="s">
        <v>78</v>
      </c>
    </row>
    <row r="695" spans="1:9">
      <c r="A695" s="2" t="s">
        <v>198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7">
        <v>0</v>
      </c>
      <c r="I695" t="s">
        <v>78</v>
      </c>
    </row>
    <row r="696" spans="1:9">
      <c r="A696" s="2" t="s">
        <v>199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7">
        <v>0</v>
      </c>
      <c r="I696" t="s">
        <v>78</v>
      </c>
    </row>
    <row r="697" spans="1:9">
      <c r="A697" s="2" t="s">
        <v>200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7">
        <v>0</v>
      </c>
      <c r="I697" t="s">
        <v>78</v>
      </c>
    </row>
    <row r="698" spans="1:9">
      <c r="A698" s="2" t="s">
        <v>201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7">
        <v>0</v>
      </c>
      <c r="I698" t="s">
        <v>78</v>
      </c>
    </row>
    <row r="699" spans="1:9">
      <c r="A699" s="2" t="s">
        <v>202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7">
        <v>0</v>
      </c>
      <c r="I699" t="s">
        <v>78</v>
      </c>
    </row>
    <row r="700" spans="1:9">
      <c r="A700" s="2" t="s">
        <v>203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7">
        <v>0</v>
      </c>
      <c r="I700" t="s">
        <v>78</v>
      </c>
    </row>
    <row r="701" spans="1:9">
      <c r="A701" s="2" t="s">
        <v>204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7">
        <v>0</v>
      </c>
      <c r="I701" t="s">
        <v>78</v>
      </c>
    </row>
    <row r="702" spans="1:9">
      <c r="A702" s="2" t="s">
        <v>205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7">
        <v>0</v>
      </c>
      <c r="I702" t="s">
        <v>78</v>
      </c>
    </row>
    <row r="703" spans="1:9">
      <c r="A703" s="2" t="s">
        <v>206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7">
        <v>0</v>
      </c>
      <c r="I703" t="s">
        <v>78</v>
      </c>
    </row>
    <row r="704" spans="1:9">
      <c r="A704" s="2" t="s">
        <v>207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7">
        <v>0</v>
      </c>
      <c r="I704" t="s">
        <v>78</v>
      </c>
    </row>
    <row r="705" spans="1:9">
      <c r="A705" s="2" t="s">
        <v>208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7">
        <v>0</v>
      </c>
      <c r="I705" t="s">
        <v>78</v>
      </c>
    </row>
    <row r="706" spans="1:9">
      <c r="A706" s="2" t="s">
        <v>209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7">
        <v>0</v>
      </c>
      <c r="I706" t="s">
        <v>78</v>
      </c>
    </row>
    <row r="707" spans="1:9">
      <c r="A707" s="2" t="s">
        <v>210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7">
        <v>0</v>
      </c>
      <c r="I707" t="s">
        <v>78</v>
      </c>
    </row>
    <row r="708" spans="1:9">
      <c r="A708" s="2" t="s">
        <v>211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7">
        <v>0</v>
      </c>
      <c r="I708" t="s">
        <v>78</v>
      </c>
    </row>
    <row r="709" spans="1:9">
      <c r="A709" s="2" t="s">
        <v>212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7">
        <v>0</v>
      </c>
      <c r="I709" t="s">
        <v>78</v>
      </c>
    </row>
    <row r="710" spans="1:9">
      <c r="A710" s="2" t="s">
        <v>213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7">
        <v>0</v>
      </c>
      <c r="I710" t="s">
        <v>78</v>
      </c>
    </row>
    <row r="711" spans="1:9">
      <c r="A711" s="2" t="s">
        <v>214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7">
        <v>0</v>
      </c>
      <c r="I711" t="s">
        <v>78</v>
      </c>
    </row>
    <row r="712" spans="1:9">
      <c r="A712" s="2" t="s">
        <v>215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7">
        <v>0</v>
      </c>
      <c r="I712" t="s">
        <v>78</v>
      </c>
    </row>
    <row r="713" spans="1:9">
      <c r="A713" s="2" t="s">
        <v>216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7">
        <v>0</v>
      </c>
      <c r="I713" t="s">
        <v>78</v>
      </c>
    </row>
    <row r="714" spans="1:9">
      <c r="A714" s="2" t="s">
        <v>217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7">
        <v>0</v>
      </c>
      <c r="I714" t="s">
        <v>78</v>
      </c>
    </row>
    <row r="715" spans="1:9">
      <c r="A715" s="2" t="s">
        <v>218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7">
        <v>0</v>
      </c>
      <c r="I715" t="s">
        <v>78</v>
      </c>
    </row>
    <row r="716" spans="1:9">
      <c r="A716" s="2" t="s">
        <v>219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7">
        <v>0</v>
      </c>
      <c r="I716" t="s">
        <v>78</v>
      </c>
    </row>
    <row r="717" spans="1:9">
      <c r="A717" s="2" t="s">
        <v>234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7">
        <v>0</v>
      </c>
      <c r="I717" t="s">
        <v>78</v>
      </c>
    </row>
    <row r="718" spans="1:9">
      <c r="A718" s="2" t="s">
        <v>235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7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7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7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7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7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7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7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7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7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7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7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7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7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7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7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7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7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7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7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7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7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7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7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7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7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7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7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7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7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7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7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7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7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7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7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7">
        <v>0</v>
      </c>
      <c r="I753" t="s">
        <v>78</v>
      </c>
    </row>
    <row r="754" spans="1:9">
      <c r="A754" s="2" t="s">
        <v>3687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7">
        <v>0</v>
      </c>
      <c r="I754" t="s">
        <v>78</v>
      </c>
    </row>
    <row r="755" spans="1:9">
      <c r="A755" s="2" t="s">
        <v>127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7">
        <v>0</v>
      </c>
      <c r="I755" t="s">
        <v>78</v>
      </c>
    </row>
    <row r="756" spans="1:9">
      <c r="A756" s="2" t="s">
        <v>128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7">
        <v>0</v>
      </c>
      <c r="I756" t="s">
        <v>78</v>
      </c>
    </row>
    <row r="757" spans="1:9">
      <c r="A757" s="2" t="s">
        <v>129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7">
        <v>0</v>
      </c>
      <c r="I757" t="s">
        <v>78</v>
      </c>
    </row>
    <row r="758" spans="1:9">
      <c r="A758" s="2" t="s">
        <v>130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7">
        <v>0</v>
      </c>
      <c r="I758" t="s">
        <v>78</v>
      </c>
    </row>
    <row r="759" spans="1:9">
      <c r="A759" s="2" t="s">
        <v>131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7">
        <v>0</v>
      </c>
      <c r="I759" t="s">
        <v>78</v>
      </c>
    </row>
    <row r="760" spans="1:9">
      <c r="A760" s="2" t="s">
        <v>132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7">
        <v>0</v>
      </c>
      <c r="I760" t="s">
        <v>78</v>
      </c>
    </row>
    <row r="761" spans="1:9">
      <c r="A761" s="2" t="s">
        <v>133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7">
        <v>0</v>
      </c>
      <c r="I761" t="s">
        <v>78</v>
      </c>
    </row>
    <row r="762" spans="1:9">
      <c r="A762" s="2" t="s">
        <v>134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7">
        <v>0</v>
      </c>
      <c r="I762" t="s">
        <v>78</v>
      </c>
    </row>
    <row r="763" spans="1:9">
      <c r="A763" s="2" t="s">
        <v>135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7">
        <v>0</v>
      </c>
      <c r="I763" t="s">
        <v>78</v>
      </c>
    </row>
    <row r="764" spans="1:9">
      <c r="A764" s="2" t="s">
        <v>136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7">
        <v>0</v>
      </c>
      <c r="I764" t="s">
        <v>78</v>
      </c>
    </row>
    <row r="765" spans="1:9">
      <c r="A765" s="2" t="s">
        <v>137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7">
        <v>0</v>
      </c>
      <c r="I765" t="s">
        <v>78</v>
      </c>
    </row>
    <row r="766" spans="1:9">
      <c r="A766" s="2" t="s">
        <v>138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7">
        <v>0</v>
      </c>
      <c r="I766" t="s">
        <v>78</v>
      </c>
    </row>
    <row r="767" spans="1:9">
      <c r="A767" s="2" t="s">
        <v>139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7">
        <v>0</v>
      </c>
      <c r="I767" t="s">
        <v>78</v>
      </c>
    </row>
    <row r="768" spans="1:9">
      <c r="A768" s="2" t="s">
        <v>140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7">
        <v>0</v>
      </c>
      <c r="I768" t="s">
        <v>78</v>
      </c>
    </row>
    <row r="769" spans="1:9">
      <c r="A769" s="2" t="s">
        <v>141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7">
        <v>0</v>
      </c>
      <c r="I769" t="s">
        <v>78</v>
      </c>
    </row>
    <row r="770" spans="1:9">
      <c r="A770" s="2" t="s">
        <v>142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7">
        <v>0</v>
      </c>
      <c r="I770" t="s">
        <v>78</v>
      </c>
    </row>
    <row r="771" spans="1:9">
      <c r="A771" s="2" t="s">
        <v>143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7">
        <v>0</v>
      </c>
      <c r="I771" t="s">
        <v>78</v>
      </c>
    </row>
    <row r="772" spans="1:9">
      <c r="A772" s="2" t="s">
        <v>144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7">
        <v>0</v>
      </c>
      <c r="I772" t="s">
        <v>78</v>
      </c>
    </row>
    <row r="773" spans="1:9">
      <c r="A773" s="2" t="s">
        <v>145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7">
        <v>0</v>
      </c>
      <c r="I773" t="s">
        <v>78</v>
      </c>
    </row>
    <row r="774" spans="1:9">
      <c r="A774" s="2" t="s">
        <v>146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7">
        <v>0</v>
      </c>
      <c r="I774" t="s">
        <v>78</v>
      </c>
    </row>
    <row r="775" spans="1:9">
      <c r="A775" s="2" t="s">
        <v>147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7">
        <v>0</v>
      </c>
      <c r="I775" t="s">
        <v>78</v>
      </c>
    </row>
    <row r="776" spans="1:9">
      <c r="A776" s="2" t="s">
        <v>148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7">
        <v>0</v>
      </c>
      <c r="I776" t="s">
        <v>78</v>
      </c>
    </row>
    <row r="777" spans="1:9">
      <c r="A777" s="2" t="s">
        <v>149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7">
        <v>0</v>
      </c>
      <c r="I777" t="s">
        <v>78</v>
      </c>
    </row>
    <row r="778" spans="1:9">
      <c r="A778" s="2" t="s">
        <v>150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7">
        <v>0</v>
      </c>
      <c r="I778" t="s">
        <v>78</v>
      </c>
    </row>
    <row r="779" spans="1:9">
      <c r="A779" s="2" t="s">
        <v>151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7">
        <v>0</v>
      </c>
      <c r="I779" t="s">
        <v>78</v>
      </c>
    </row>
    <row r="780" spans="1:9">
      <c r="A780" s="2" t="s">
        <v>152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7">
        <v>0</v>
      </c>
      <c r="I780" t="s">
        <v>78</v>
      </c>
    </row>
    <row r="781" spans="1:9">
      <c r="A781" s="2" t="s">
        <v>153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7">
        <v>0</v>
      </c>
      <c r="I781" t="s">
        <v>78</v>
      </c>
    </row>
    <row r="782" spans="1:9">
      <c r="A782" s="2" t="s">
        <v>154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7">
        <v>0</v>
      </c>
      <c r="I782" t="s">
        <v>78</v>
      </c>
    </row>
    <row r="783" spans="1:9">
      <c r="A783" s="2" t="s">
        <v>155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7">
        <v>0</v>
      </c>
      <c r="I783" t="s">
        <v>78</v>
      </c>
    </row>
    <row r="784" spans="1:9">
      <c r="A784" s="2" t="s">
        <v>156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7">
        <v>0</v>
      </c>
      <c r="I784" t="s">
        <v>78</v>
      </c>
    </row>
    <row r="785" spans="1:9">
      <c r="A785" s="2" t="s">
        <v>157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7">
        <v>0</v>
      </c>
      <c r="I785" t="s">
        <v>78</v>
      </c>
    </row>
    <row r="786" spans="1:9">
      <c r="A786" s="2" t="s">
        <v>158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7">
        <v>0</v>
      </c>
      <c r="I786" t="s">
        <v>78</v>
      </c>
    </row>
    <row r="787" spans="1:9">
      <c r="A787" s="2" t="s">
        <v>159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7">
        <v>0</v>
      </c>
      <c r="I787" t="s">
        <v>78</v>
      </c>
    </row>
    <row r="788" spans="1:9">
      <c r="A788" s="2" t="s">
        <v>160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7">
        <v>0</v>
      </c>
      <c r="I788" t="s">
        <v>78</v>
      </c>
    </row>
    <row r="789" spans="1:9">
      <c r="A789" s="2" t="s">
        <v>161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7">
        <v>0</v>
      </c>
      <c r="I789" t="s">
        <v>78</v>
      </c>
    </row>
    <row r="790" spans="1:9">
      <c r="A790" s="2" t="s">
        <v>3346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7">
        <v>0</v>
      </c>
      <c r="I790" t="s">
        <v>78</v>
      </c>
    </row>
    <row r="791" spans="1:9">
      <c r="A791" s="2" t="s">
        <v>3347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7">
        <v>0</v>
      </c>
      <c r="I791" t="s">
        <v>78</v>
      </c>
    </row>
    <row r="792" spans="1:9">
      <c r="A792" s="2" t="s">
        <v>3348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7">
        <v>0</v>
      </c>
      <c r="I792" t="s">
        <v>78</v>
      </c>
    </row>
    <row r="793" spans="1:9">
      <c r="A793" s="2" t="s">
        <v>3349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7">
        <v>0</v>
      </c>
      <c r="I793" t="s">
        <v>78</v>
      </c>
    </row>
    <row r="794" spans="1:9">
      <c r="A794" s="2" t="s">
        <v>3350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7">
        <v>0</v>
      </c>
      <c r="I794" t="s">
        <v>78</v>
      </c>
    </row>
    <row r="795" spans="1:9">
      <c r="A795" t="s">
        <v>3351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7">
        <v>0</v>
      </c>
      <c r="I795" t="s">
        <v>78</v>
      </c>
    </row>
    <row r="796" spans="1:9">
      <c r="A796" t="s">
        <v>3528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7">
        <v>0</v>
      </c>
      <c r="I796" t="s">
        <v>78</v>
      </c>
    </row>
    <row r="797" spans="1:9">
      <c r="A797" s="2" t="s">
        <v>3352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7">
        <v>0</v>
      </c>
      <c r="I797" t="s">
        <v>78</v>
      </c>
    </row>
    <row r="798" spans="1:9">
      <c r="A798" s="2" t="s">
        <v>3353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7">
        <v>0</v>
      </c>
      <c r="I798" t="s">
        <v>78</v>
      </c>
    </row>
    <row r="799" spans="1:9">
      <c r="A799" s="2" t="s">
        <v>3354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7">
        <v>0</v>
      </c>
      <c r="I799" t="s">
        <v>78</v>
      </c>
    </row>
    <row r="800" spans="1:9">
      <c r="A800" s="2" t="s">
        <v>3355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7">
        <v>0</v>
      </c>
      <c r="I800" t="s">
        <v>78</v>
      </c>
    </row>
    <row r="801" spans="1:9">
      <c r="A801" s="2" t="s">
        <v>3356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7">
        <v>0</v>
      </c>
      <c r="I801" t="s">
        <v>78</v>
      </c>
    </row>
    <row r="802" spans="1:9">
      <c r="A802" s="2" t="s">
        <v>3357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7">
        <v>0</v>
      </c>
      <c r="I802" t="s">
        <v>78</v>
      </c>
    </row>
    <row r="803" spans="1:9">
      <c r="A803" s="2" t="s">
        <v>3358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7">
        <v>0</v>
      </c>
      <c r="I803" t="s">
        <v>78</v>
      </c>
    </row>
    <row r="804" spans="1:9">
      <c r="A804" s="2" t="s">
        <v>3359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7">
        <v>0</v>
      </c>
      <c r="I804" t="s">
        <v>78</v>
      </c>
    </row>
    <row r="805" spans="1:9">
      <c r="A805" s="2" t="s">
        <v>1782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7">
        <v>0</v>
      </c>
      <c r="I805" t="s">
        <v>78</v>
      </c>
    </row>
    <row r="806" spans="1:9">
      <c r="A806" s="2" t="s">
        <v>1783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7">
        <v>0</v>
      </c>
      <c r="I806" t="s">
        <v>78</v>
      </c>
    </row>
    <row r="807" spans="1:9">
      <c r="A807" s="2" t="s">
        <v>1766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7">
        <v>0</v>
      </c>
      <c r="I807" t="s">
        <v>78</v>
      </c>
    </row>
    <row r="808" spans="1:9">
      <c r="A808" s="2" t="s">
        <v>1761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7">
        <v>0</v>
      </c>
      <c r="I808" t="s">
        <v>78</v>
      </c>
    </row>
    <row r="809" spans="1:9">
      <c r="A809" s="2" t="s">
        <v>1762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7">
        <v>0</v>
      </c>
      <c r="I809" t="s">
        <v>78</v>
      </c>
    </row>
    <row r="810" spans="1:9">
      <c r="A810" s="2" t="s">
        <v>1763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7">
        <v>0</v>
      </c>
      <c r="I810" t="s">
        <v>78</v>
      </c>
    </row>
    <row r="811" spans="1:9">
      <c r="A811" s="2" t="s">
        <v>1764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7">
        <v>0</v>
      </c>
      <c r="I811" t="s">
        <v>78</v>
      </c>
    </row>
    <row r="812" spans="1:9">
      <c r="A812" s="2" t="s">
        <v>1765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7">
        <v>0</v>
      </c>
      <c r="I812" t="s">
        <v>78</v>
      </c>
    </row>
    <row r="813" spans="1:9">
      <c r="A813" s="2" t="s">
        <v>1786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7">
        <v>0</v>
      </c>
      <c r="I813" t="s">
        <v>78</v>
      </c>
    </row>
    <row r="814" spans="1:9">
      <c r="A814" s="2" t="s">
        <v>3360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7">
        <v>0</v>
      </c>
      <c r="I814" t="s">
        <v>78</v>
      </c>
    </row>
    <row r="815" spans="1:9">
      <c r="A815" s="2" t="s">
        <v>3361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7">
        <v>0</v>
      </c>
      <c r="I815" t="s">
        <v>78</v>
      </c>
    </row>
    <row r="816" spans="1:9">
      <c r="A816" s="2" t="s">
        <v>3362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7">
        <v>0</v>
      </c>
      <c r="I816" t="s">
        <v>78</v>
      </c>
    </row>
    <row r="817" spans="1:9">
      <c r="A817" s="2" t="s">
        <v>3363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7">
        <v>0</v>
      </c>
      <c r="I817" t="s">
        <v>78</v>
      </c>
    </row>
    <row r="818" spans="1:9">
      <c r="A818" s="2" t="s">
        <v>3364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7">
        <v>0</v>
      </c>
      <c r="I818" t="s">
        <v>78</v>
      </c>
    </row>
    <row r="819" spans="1:9">
      <c r="A819" s="2" t="s">
        <v>3365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7">
        <v>0</v>
      </c>
      <c r="I819" t="s">
        <v>78</v>
      </c>
    </row>
    <row r="820" spans="1:9">
      <c r="A820" s="2" t="s">
        <v>3366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7">
        <v>0</v>
      </c>
      <c r="I820" t="s">
        <v>78</v>
      </c>
    </row>
    <row r="821" spans="1:9">
      <c r="A821" s="2" t="s">
        <v>3367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7">
        <v>0</v>
      </c>
      <c r="I821" t="s">
        <v>78</v>
      </c>
    </row>
    <row r="822" spans="1:9">
      <c r="A822" t="s">
        <v>3368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7">
        <v>0</v>
      </c>
      <c r="I822" t="s">
        <v>78</v>
      </c>
    </row>
    <row r="823" spans="1:9">
      <c r="A823" s="2" t="s">
        <v>3369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7">
        <v>0</v>
      </c>
      <c r="I823" t="s">
        <v>78</v>
      </c>
    </row>
    <row r="824" spans="1:9">
      <c r="A824" s="2" t="s">
        <v>3370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7">
        <v>0</v>
      </c>
      <c r="I824" t="s">
        <v>78</v>
      </c>
    </row>
    <row r="825" spans="1:9">
      <c r="A825" s="2" t="s">
        <v>3371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7">
        <v>0</v>
      </c>
      <c r="I825" t="s">
        <v>78</v>
      </c>
    </row>
    <row r="826" spans="1:9">
      <c r="A826" s="2" t="s">
        <v>3695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7">
        <v>0</v>
      </c>
      <c r="I826" t="s">
        <v>78</v>
      </c>
    </row>
    <row r="827" spans="1:9">
      <c r="A827" s="2" t="s">
        <v>3372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7">
        <v>0</v>
      </c>
      <c r="I827" t="s">
        <v>78</v>
      </c>
    </row>
    <row r="828" spans="1:9">
      <c r="A828" s="2" t="s">
        <v>3373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7">
        <v>0</v>
      </c>
      <c r="I828" t="s">
        <v>78</v>
      </c>
    </row>
    <row r="829" spans="1:9">
      <c r="A829" s="2" t="s">
        <v>3374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7">
        <v>0</v>
      </c>
      <c r="I829" t="s">
        <v>78</v>
      </c>
    </row>
    <row r="830" spans="1:9">
      <c r="A830" s="2" t="s">
        <v>3375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7">
        <v>0</v>
      </c>
      <c r="I830" t="s">
        <v>78</v>
      </c>
    </row>
    <row r="831" spans="1:9">
      <c r="A831" s="2" t="s">
        <v>3376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7">
        <v>0</v>
      </c>
      <c r="I831" t="s">
        <v>78</v>
      </c>
    </row>
    <row r="832" spans="1:9">
      <c r="A832" s="2" t="s">
        <v>3377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7">
        <v>0</v>
      </c>
      <c r="I832" t="s">
        <v>78</v>
      </c>
    </row>
    <row r="833" spans="1:9">
      <c r="A833" s="2" t="s">
        <v>3378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7">
        <v>0</v>
      </c>
      <c r="I833" t="s">
        <v>78</v>
      </c>
    </row>
    <row r="834" spans="1:9">
      <c r="A834" t="s">
        <v>3379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7">
        <v>0</v>
      </c>
      <c r="I834" t="s">
        <v>78</v>
      </c>
    </row>
    <row r="835" spans="1:9">
      <c r="A835" s="2" t="s">
        <v>3380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7">
        <v>0</v>
      </c>
      <c r="I835" t="s">
        <v>78</v>
      </c>
    </row>
    <row r="836" spans="1:9">
      <c r="A836" s="2" t="s">
        <v>3381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7">
        <v>0</v>
      </c>
      <c r="I836" t="s">
        <v>78</v>
      </c>
    </row>
    <row r="837" spans="1:9">
      <c r="A837" s="2" t="s">
        <v>3382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7">
        <v>0</v>
      </c>
      <c r="I837" t="s">
        <v>78</v>
      </c>
    </row>
    <row r="838" spans="1:9">
      <c r="A838" s="2" t="s">
        <v>3383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7">
        <v>0</v>
      </c>
      <c r="I838" t="s">
        <v>78</v>
      </c>
    </row>
    <row r="839" spans="1:9">
      <c r="A839" s="2" t="s">
        <v>3384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7">
        <v>0</v>
      </c>
      <c r="I839" t="s">
        <v>78</v>
      </c>
    </row>
    <row r="840" spans="1:9">
      <c r="A840" s="2" t="s">
        <v>3385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7">
        <v>0</v>
      </c>
      <c r="I840" t="s">
        <v>78</v>
      </c>
    </row>
    <row r="841" spans="1:9">
      <c r="A841" s="2" t="s">
        <v>3386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7">
        <v>0</v>
      </c>
      <c r="I841" t="s">
        <v>78</v>
      </c>
    </row>
    <row r="842" spans="1:9">
      <c r="A842" s="2" t="s">
        <v>3387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7">
        <v>0</v>
      </c>
      <c r="I842" t="s">
        <v>78</v>
      </c>
    </row>
    <row r="843" spans="1:9">
      <c r="A843" s="2" t="s">
        <v>3388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7">
        <v>0</v>
      </c>
      <c r="I843" t="s">
        <v>78</v>
      </c>
    </row>
    <row r="844" spans="1:9">
      <c r="A844" s="2" t="s">
        <v>3389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7">
        <v>0</v>
      </c>
      <c r="I844" t="s">
        <v>78</v>
      </c>
    </row>
    <row r="845" spans="1:9">
      <c r="A845" s="2" t="s">
        <v>3390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7">
        <v>0</v>
      </c>
      <c r="I845" t="s">
        <v>78</v>
      </c>
    </row>
    <row r="846" spans="1:9">
      <c r="A846" s="2" t="s">
        <v>3391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7">
        <v>0</v>
      </c>
      <c r="I846" t="s">
        <v>78</v>
      </c>
    </row>
    <row r="847" spans="1:9">
      <c r="A847" s="2" t="s">
        <v>3392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7">
        <v>0</v>
      </c>
      <c r="I847" t="s">
        <v>78</v>
      </c>
    </row>
    <row r="848" spans="1:9">
      <c r="A848" s="2" t="s">
        <v>3393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7">
        <v>0</v>
      </c>
      <c r="I848" t="s">
        <v>78</v>
      </c>
    </row>
    <row r="849" spans="1:9">
      <c r="A849" s="2" t="s">
        <v>3539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7">
        <v>0</v>
      </c>
      <c r="I849" t="s">
        <v>78</v>
      </c>
    </row>
    <row r="850" spans="1:9">
      <c r="A850" s="2" t="s">
        <v>3394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7">
        <v>0</v>
      </c>
      <c r="I850" t="s">
        <v>78</v>
      </c>
    </row>
    <row r="851" spans="1:9">
      <c r="A851" s="2" t="s">
        <v>3395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7">
        <v>0</v>
      </c>
      <c r="I851" t="s">
        <v>78</v>
      </c>
    </row>
    <row r="852" spans="1:9">
      <c r="A852" s="2" t="s">
        <v>3396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7">
        <v>0</v>
      </c>
      <c r="I852" t="s">
        <v>78</v>
      </c>
    </row>
    <row r="853" spans="1:9">
      <c r="A853" s="2" t="s">
        <v>3397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7">
        <v>0</v>
      </c>
      <c r="I853" t="s">
        <v>78</v>
      </c>
    </row>
    <row r="854" spans="1:9">
      <c r="A854" s="2" t="s">
        <v>3398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7">
        <v>0</v>
      </c>
      <c r="I854" t="s">
        <v>78</v>
      </c>
    </row>
    <row r="855" spans="1:9">
      <c r="A855" s="2" t="s">
        <v>3399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7">
        <v>0</v>
      </c>
      <c r="I855" t="s">
        <v>78</v>
      </c>
    </row>
    <row r="856" spans="1:9">
      <c r="A856" s="2" t="s">
        <v>3400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7">
        <v>0</v>
      </c>
      <c r="I856" t="s">
        <v>78</v>
      </c>
    </row>
    <row r="857" spans="1:9">
      <c r="A857" s="2" t="s">
        <v>3534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7">
        <v>0</v>
      </c>
      <c r="I857" t="s">
        <v>78</v>
      </c>
    </row>
    <row r="858" spans="1:9">
      <c r="A858" s="2" t="s">
        <v>3535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7">
        <v>0</v>
      </c>
      <c r="I858" t="s">
        <v>78</v>
      </c>
    </row>
    <row r="859" spans="1:9">
      <c r="A859" s="2" t="s">
        <v>3559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7">
        <v>0</v>
      </c>
      <c r="I859" t="s">
        <v>78</v>
      </c>
    </row>
    <row r="860" spans="1:9">
      <c r="A860" s="2" t="s">
        <v>3540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7">
        <v>0</v>
      </c>
      <c r="I860" t="s">
        <v>78</v>
      </c>
    </row>
    <row r="861" spans="1:9">
      <c r="A861" s="2" t="s">
        <v>3401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7">
        <v>0</v>
      </c>
      <c r="I861" t="s">
        <v>78</v>
      </c>
    </row>
    <row r="862" spans="1:9">
      <c r="A862" s="2" t="s">
        <v>3541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7">
        <v>0</v>
      </c>
      <c r="I862" t="s">
        <v>78</v>
      </c>
    </row>
    <row r="863" spans="1:9">
      <c r="A863" t="s">
        <v>3402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7">
        <v>0</v>
      </c>
      <c r="I863" t="s">
        <v>78</v>
      </c>
    </row>
    <row r="864" spans="1:9">
      <c r="A864" t="s">
        <v>3403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7">
        <v>0</v>
      </c>
      <c r="I864" t="s">
        <v>78</v>
      </c>
    </row>
    <row r="865" spans="1:9">
      <c r="A865" t="s">
        <v>3404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7">
        <v>0</v>
      </c>
      <c r="I865" t="s">
        <v>78</v>
      </c>
    </row>
    <row r="866" spans="1:9">
      <c r="A866" s="2" t="s">
        <v>3405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7">
        <v>0</v>
      </c>
      <c r="I866" t="s">
        <v>78</v>
      </c>
    </row>
    <row r="867" spans="1:9">
      <c r="A867" t="s">
        <v>3406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7">
        <v>0</v>
      </c>
      <c r="I867" t="s">
        <v>78</v>
      </c>
    </row>
    <row r="868" spans="1:9">
      <c r="A868" s="2" t="s">
        <v>3407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7">
        <v>0</v>
      </c>
      <c r="I868" t="s">
        <v>78</v>
      </c>
    </row>
    <row r="869" spans="1:9">
      <c r="A869" s="2" t="s">
        <v>3408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7">
        <v>0</v>
      </c>
      <c r="I869" t="s">
        <v>78</v>
      </c>
    </row>
    <row r="870" spans="1:9">
      <c r="A870" s="2" t="s">
        <v>3409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7">
        <v>0</v>
      </c>
      <c r="I870" t="s">
        <v>78</v>
      </c>
    </row>
    <row r="871" spans="1:9">
      <c r="A871" s="2" t="s">
        <v>3542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7">
        <v>0</v>
      </c>
      <c r="I871" t="s">
        <v>78</v>
      </c>
    </row>
    <row r="872" spans="1:9">
      <c r="A872" s="2" t="s">
        <v>3410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7">
        <v>0</v>
      </c>
      <c r="I872" t="s">
        <v>78</v>
      </c>
    </row>
    <row r="873" spans="1:9">
      <c r="A873" s="2" t="s">
        <v>3411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7">
        <v>0</v>
      </c>
      <c r="I873" t="s">
        <v>78</v>
      </c>
    </row>
    <row r="874" spans="1:9">
      <c r="A874" s="2" t="s">
        <v>3412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7">
        <v>0</v>
      </c>
      <c r="I874" t="s">
        <v>78</v>
      </c>
    </row>
    <row r="875" spans="1:9">
      <c r="A875" s="2" t="s">
        <v>3413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7">
        <v>0</v>
      </c>
      <c r="I875" t="s">
        <v>78</v>
      </c>
    </row>
    <row r="876" spans="1:9">
      <c r="A876" s="2" t="s">
        <v>3414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7">
        <v>0</v>
      </c>
      <c r="I876" t="s">
        <v>78</v>
      </c>
    </row>
    <row r="877" spans="1:9">
      <c r="A877" s="2" t="s">
        <v>3415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7">
        <v>0</v>
      </c>
      <c r="I877" t="s">
        <v>78</v>
      </c>
    </row>
    <row r="878" spans="1:9">
      <c r="A878" s="2" t="s">
        <v>3416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7">
        <v>0</v>
      </c>
      <c r="I878" t="s">
        <v>78</v>
      </c>
    </row>
    <row r="879" spans="1:9">
      <c r="A879" s="2" t="s">
        <v>3417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7">
        <v>0</v>
      </c>
      <c r="I879" t="s">
        <v>78</v>
      </c>
    </row>
    <row r="880" spans="1:9">
      <c r="A880" s="2" t="s">
        <v>3418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7">
        <v>0</v>
      </c>
      <c r="I880" t="s">
        <v>78</v>
      </c>
    </row>
    <row r="881" spans="1:9">
      <c r="A881" t="s">
        <v>3419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7">
        <v>0</v>
      </c>
      <c r="I881" t="s">
        <v>78</v>
      </c>
    </row>
    <row r="882" spans="1:9">
      <c r="A882" s="2" t="s">
        <v>3420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7">
        <v>0</v>
      </c>
      <c r="I882" t="s">
        <v>78</v>
      </c>
    </row>
    <row r="883" spans="1:9">
      <c r="A883" s="2" t="s">
        <v>3421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7">
        <v>0</v>
      </c>
      <c r="I883" t="s">
        <v>78</v>
      </c>
    </row>
    <row r="884" spans="1:9">
      <c r="A884" t="s">
        <v>3422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7">
        <v>0</v>
      </c>
      <c r="I884" t="s">
        <v>78</v>
      </c>
    </row>
    <row r="885" spans="1:9">
      <c r="A885" s="2" t="s">
        <v>3423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7">
        <v>0</v>
      </c>
      <c r="I885" t="s">
        <v>78</v>
      </c>
    </row>
    <row r="886" spans="1:9">
      <c r="A886" s="2" t="s">
        <v>3424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7">
        <v>0</v>
      </c>
      <c r="I886" t="s">
        <v>78</v>
      </c>
    </row>
    <row r="887" spans="1:9">
      <c r="A887" s="2" t="s">
        <v>3425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7">
        <v>0</v>
      </c>
      <c r="I887" t="s">
        <v>78</v>
      </c>
    </row>
    <row r="888" spans="1:9">
      <c r="A888" t="s">
        <v>3426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7">
        <v>0</v>
      </c>
      <c r="I888" t="s">
        <v>78</v>
      </c>
    </row>
    <row r="889" spans="1:9">
      <c r="A889" s="2" t="s">
        <v>3427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7">
        <v>0</v>
      </c>
      <c r="I889" t="s">
        <v>78</v>
      </c>
    </row>
    <row r="890" spans="1:9">
      <c r="A890" s="2" t="s">
        <v>3428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7">
        <v>0</v>
      </c>
      <c r="I890" t="s">
        <v>78</v>
      </c>
    </row>
    <row r="891" spans="1:9">
      <c r="A891" s="2" t="s">
        <v>3429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7">
        <v>0</v>
      </c>
      <c r="I891" t="s">
        <v>78</v>
      </c>
    </row>
    <row r="892" spans="1:9">
      <c r="A892" s="2" t="s">
        <v>3430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7">
        <v>0</v>
      </c>
      <c r="I892" t="s">
        <v>78</v>
      </c>
    </row>
    <row r="893" spans="1:9">
      <c r="A893" s="2" t="s">
        <v>3431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7">
        <v>0</v>
      </c>
      <c r="I893" t="s">
        <v>78</v>
      </c>
    </row>
    <row r="894" spans="1:9">
      <c r="A894" s="2" t="s">
        <v>3432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7">
        <v>0</v>
      </c>
      <c r="I894" t="s">
        <v>78</v>
      </c>
    </row>
    <row r="895" spans="1:9">
      <c r="A895" s="2" t="s">
        <v>3433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7">
        <v>0</v>
      </c>
      <c r="I895" t="s">
        <v>78</v>
      </c>
    </row>
    <row r="896" spans="1:9">
      <c r="A896" t="s">
        <v>3434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7">
        <v>0</v>
      </c>
      <c r="I896" t="s">
        <v>78</v>
      </c>
    </row>
    <row r="897" spans="1:9">
      <c r="A897" s="2" t="s">
        <v>3435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7">
        <v>0</v>
      </c>
      <c r="I897" t="s">
        <v>78</v>
      </c>
    </row>
    <row r="898" spans="1:9">
      <c r="A898" s="2" t="s">
        <v>3436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7">
        <v>0</v>
      </c>
      <c r="I898" t="s">
        <v>78</v>
      </c>
    </row>
    <row r="899" spans="1:9">
      <c r="A899" s="2" t="s">
        <v>3437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7">
        <v>0</v>
      </c>
      <c r="I899" t="s">
        <v>78</v>
      </c>
    </row>
    <row r="900" spans="1:9">
      <c r="A900" t="s">
        <v>3438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7">
        <v>0</v>
      </c>
      <c r="I900" t="s">
        <v>78</v>
      </c>
    </row>
    <row r="901" spans="1:9">
      <c r="A901" s="2" t="s">
        <v>3439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7">
        <v>0</v>
      </c>
      <c r="I901" t="s">
        <v>78</v>
      </c>
    </row>
    <row r="902" spans="1:9">
      <c r="A902" s="2" t="s">
        <v>3440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7">
        <v>0</v>
      </c>
      <c r="I902" t="s">
        <v>78</v>
      </c>
    </row>
    <row r="903" spans="1:9">
      <c r="A903" s="2" t="s">
        <v>3441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7">
        <v>0</v>
      </c>
      <c r="I903" t="s">
        <v>78</v>
      </c>
    </row>
    <row r="904" spans="1:9">
      <c r="A904" s="2" t="s">
        <v>3442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7">
        <v>0</v>
      </c>
      <c r="I904" t="s">
        <v>78</v>
      </c>
    </row>
    <row r="905" spans="1:9">
      <c r="A905" s="2" t="s">
        <v>3443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7">
        <v>0</v>
      </c>
      <c r="I905" t="s">
        <v>78</v>
      </c>
    </row>
    <row r="906" spans="1:9">
      <c r="A906" s="2" t="s">
        <v>3444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7">
        <v>0</v>
      </c>
      <c r="I906" t="s">
        <v>78</v>
      </c>
    </row>
    <row r="907" spans="1:9">
      <c r="A907" s="2" t="s">
        <v>3445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7">
        <v>0</v>
      </c>
      <c r="I907" t="s">
        <v>78</v>
      </c>
    </row>
    <row r="908" spans="1:9">
      <c r="A908" s="2" t="s">
        <v>3446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7">
        <v>0</v>
      </c>
      <c r="I908" t="s">
        <v>78</v>
      </c>
    </row>
    <row r="909" spans="1:9">
      <c r="A909" s="2" t="s">
        <v>3447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7">
        <v>0</v>
      </c>
      <c r="I909" t="s">
        <v>78</v>
      </c>
    </row>
    <row r="910" spans="1:9">
      <c r="A910" s="2" t="s">
        <v>1896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7">
        <v>0</v>
      </c>
      <c r="I910" t="s">
        <v>78</v>
      </c>
    </row>
    <row r="911" spans="1:9">
      <c r="A911" s="2" t="s">
        <v>1898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7">
        <v>0</v>
      </c>
      <c r="I911" t="s">
        <v>78</v>
      </c>
    </row>
    <row r="912" spans="1:9">
      <c r="A912" s="2" t="s">
        <v>1899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7">
        <v>0</v>
      </c>
      <c r="I912" t="s">
        <v>78</v>
      </c>
    </row>
    <row r="913" spans="1:9">
      <c r="A913" s="2" t="s">
        <v>1900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7">
        <v>0</v>
      </c>
      <c r="I913" t="s">
        <v>78</v>
      </c>
    </row>
    <row r="914" spans="1:9">
      <c r="A914" s="2" t="s">
        <v>1903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7">
        <v>0</v>
      </c>
      <c r="I914" t="s">
        <v>78</v>
      </c>
    </row>
    <row r="915" spans="1:9">
      <c r="A915" s="2" t="s">
        <v>1904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7">
        <v>0</v>
      </c>
      <c r="I915" t="s">
        <v>78</v>
      </c>
    </row>
    <row r="916" spans="1:9">
      <c r="A916" s="2" t="s">
        <v>1907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7">
        <v>0</v>
      </c>
      <c r="I916" t="s">
        <v>78</v>
      </c>
    </row>
    <row r="917" spans="1:9">
      <c r="A917" s="2" t="s">
        <v>1908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7">
        <v>0</v>
      </c>
      <c r="I917" t="s">
        <v>78</v>
      </c>
    </row>
    <row r="918" spans="1:9">
      <c r="A918" s="2" t="s">
        <v>1910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7">
        <v>0</v>
      </c>
      <c r="I918" t="s">
        <v>78</v>
      </c>
    </row>
    <row r="919" spans="1:9">
      <c r="A919" s="2" t="s">
        <v>1912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7">
        <v>0</v>
      </c>
      <c r="I919" t="s">
        <v>78</v>
      </c>
    </row>
    <row r="920" spans="1:9">
      <c r="A920" s="2" t="s">
        <v>1913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7">
        <v>0</v>
      </c>
      <c r="I920" t="s">
        <v>78</v>
      </c>
    </row>
    <row r="921" spans="1:9">
      <c r="A921" s="2" t="s">
        <v>1915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7">
        <v>0</v>
      </c>
      <c r="I921" t="s">
        <v>78</v>
      </c>
    </row>
    <row r="922" spans="1:9">
      <c r="A922" s="2" t="s">
        <v>1917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7">
        <v>0</v>
      </c>
      <c r="I922" t="s">
        <v>78</v>
      </c>
    </row>
    <row r="923" spans="1:9">
      <c r="A923" s="2" t="s">
        <v>1919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7">
        <v>0</v>
      </c>
      <c r="I923" t="s">
        <v>78</v>
      </c>
    </row>
    <row r="924" spans="1:9">
      <c r="A924" s="2" t="s">
        <v>1920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7">
        <v>0</v>
      </c>
      <c r="I924" t="s">
        <v>78</v>
      </c>
    </row>
    <row r="925" spans="1:9">
      <c r="A925" s="2" t="s">
        <v>1924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7">
        <v>0</v>
      </c>
      <c r="I925" t="s">
        <v>78</v>
      </c>
    </row>
    <row r="926" spans="1:9">
      <c r="A926" s="2" t="s">
        <v>1926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7">
        <v>0</v>
      </c>
      <c r="I926" t="s">
        <v>78</v>
      </c>
    </row>
    <row r="927" spans="1:9">
      <c r="A927" s="2" t="s">
        <v>1927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7">
        <v>0</v>
      </c>
      <c r="I927" t="s">
        <v>78</v>
      </c>
    </row>
    <row r="928" spans="1:9">
      <c r="A928" s="2" t="s">
        <v>1929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7">
        <v>0</v>
      </c>
      <c r="I928" t="s">
        <v>78</v>
      </c>
    </row>
    <row r="929" spans="1:9">
      <c r="A929" t="s">
        <v>1931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7">
        <v>0</v>
      </c>
      <c r="I929" t="s">
        <v>78</v>
      </c>
    </row>
    <row r="930" spans="1:9">
      <c r="A930" t="s">
        <v>1932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7">
        <v>0</v>
      </c>
      <c r="I930" t="s">
        <v>78</v>
      </c>
    </row>
    <row r="931" spans="1:9">
      <c r="A931" s="2" t="s">
        <v>1940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7">
        <v>0</v>
      </c>
      <c r="I931" t="s">
        <v>78</v>
      </c>
    </row>
    <row r="932" spans="1:9">
      <c r="A932" s="2" t="s">
        <v>1941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7">
        <v>0</v>
      </c>
      <c r="I932" t="s">
        <v>78</v>
      </c>
    </row>
    <row r="933" spans="1:9">
      <c r="A933" s="2" t="s">
        <v>1943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7">
        <v>0</v>
      </c>
      <c r="I933" t="s">
        <v>78</v>
      </c>
    </row>
    <row r="934" spans="1:9">
      <c r="A934" s="2" t="s">
        <v>3448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7">
        <v>0</v>
      </c>
      <c r="I934" t="s">
        <v>78</v>
      </c>
    </row>
    <row r="935" spans="1:9">
      <c r="A935" s="2" t="s">
        <v>3320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7">
        <v>0</v>
      </c>
      <c r="I935" t="s">
        <v>78</v>
      </c>
    </row>
    <row r="936" spans="1:9">
      <c r="A936" s="2" t="s">
        <v>3449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7">
        <v>0</v>
      </c>
      <c r="I936" t="s">
        <v>78</v>
      </c>
    </row>
    <row r="937" spans="1:9">
      <c r="A937" s="2" t="s">
        <v>3450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7">
        <v>0</v>
      </c>
      <c r="I937" t="s">
        <v>78</v>
      </c>
    </row>
    <row r="938" spans="1:9">
      <c r="A938" s="2" t="s">
        <v>3451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7">
        <v>0</v>
      </c>
      <c r="I938" t="s">
        <v>78</v>
      </c>
    </row>
    <row r="939" spans="1:9">
      <c r="A939" s="2" t="s">
        <v>3452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7">
        <v>0</v>
      </c>
      <c r="I939" t="s">
        <v>78</v>
      </c>
    </row>
    <row r="940" spans="1:9">
      <c r="A940" t="s">
        <v>3453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7">
        <v>0</v>
      </c>
      <c r="I940" t="s">
        <v>78</v>
      </c>
    </row>
    <row r="941" spans="1:9">
      <c r="A941" t="s">
        <v>3454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7">
        <v>0</v>
      </c>
      <c r="I941" t="s">
        <v>78</v>
      </c>
    </row>
    <row r="942" spans="1:9">
      <c r="A942" s="2" t="s">
        <v>3455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7">
        <v>0</v>
      </c>
      <c r="I942" t="s">
        <v>78</v>
      </c>
    </row>
    <row r="943" spans="1:9">
      <c r="A943" s="2" t="s">
        <v>3456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7">
        <v>0</v>
      </c>
      <c r="I943" t="s">
        <v>78</v>
      </c>
    </row>
    <row r="944" spans="1:9">
      <c r="A944" s="2" t="s">
        <v>3457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7">
        <v>0</v>
      </c>
      <c r="I944" t="s">
        <v>78</v>
      </c>
    </row>
    <row r="945" spans="1:9">
      <c r="A945" s="2" t="s">
        <v>3458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7">
        <v>0</v>
      </c>
      <c r="I945" t="s">
        <v>78</v>
      </c>
    </row>
    <row r="946" spans="1:9">
      <c r="A946" s="2" t="s">
        <v>3459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7">
        <v>0</v>
      </c>
      <c r="I946" t="s">
        <v>78</v>
      </c>
    </row>
    <row r="947" spans="1:9">
      <c r="A947" s="2" t="s">
        <v>3460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7">
        <v>0</v>
      </c>
      <c r="I947" t="s">
        <v>78</v>
      </c>
    </row>
    <row r="948" spans="1:9">
      <c r="A948" s="2" t="s">
        <v>3461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7">
        <v>0</v>
      </c>
      <c r="I948" t="s">
        <v>78</v>
      </c>
    </row>
    <row r="949" spans="1:9">
      <c r="A949" s="2" t="s">
        <v>3462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7">
        <v>0</v>
      </c>
      <c r="I949" t="s">
        <v>78</v>
      </c>
    </row>
    <row r="950" spans="1:9">
      <c r="A950" s="2" t="s">
        <v>3463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7">
        <v>0</v>
      </c>
      <c r="I950" t="s">
        <v>78</v>
      </c>
    </row>
    <row r="951" spans="1:9">
      <c r="A951" s="2" t="s">
        <v>3464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7">
        <v>0</v>
      </c>
      <c r="I951" t="s">
        <v>78</v>
      </c>
    </row>
    <row r="952" spans="1:9">
      <c r="A952" s="2" t="s">
        <v>3465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7">
        <v>0</v>
      </c>
      <c r="I952" t="s">
        <v>78</v>
      </c>
    </row>
    <row r="953" spans="1:9">
      <c r="A953" s="2" t="s">
        <v>3466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7">
        <v>0</v>
      </c>
      <c r="I953" t="s">
        <v>78</v>
      </c>
    </row>
    <row r="954" spans="1:9">
      <c r="A954" s="2" t="s">
        <v>3467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7">
        <v>0</v>
      </c>
      <c r="I954" t="s">
        <v>78</v>
      </c>
    </row>
    <row r="955" spans="1:9">
      <c r="A955" s="2" t="s">
        <v>3468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7">
        <v>0</v>
      </c>
      <c r="I955" t="s">
        <v>78</v>
      </c>
    </row>
    <row r="956" spans="1:9">
      <c r="A956" t="s">
        <v>3469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7">
        <v>0</v>
      </c>
      <c r="I956" t="s">
        <v>78</v>
      </c>
    </row>
    <row r="957" spans="1:9">
      <c r="A957" s="2" t="s">
        <v>3560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7">
        <v>0</v>
      </c>
      <c r="I957" t="s">
        <v>78</v>
      </c>
    </row>
    <row r="958" spans="1:9">
      <c r="A958" s="2" t="s">
        <v>3470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7">
        <v>0</v>
      </c>
      <c r="I958" t="s">
        <v>78</v>
      </c>
    </row>
    <row r="959" spans="1:9">
      <c r="A959" s="2" t="s">
        <v>3471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7">
        <v>0</v>
      </c>
      <c r="I959" t="s">
        <v>78</v>
      </c>
    </row>
    <row r="960" spans="1:9">
      <c r="A960" s="2" t="s">
        <v>3472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7">
        <v>0</v>
      </c>
      <c r="I960" t="s">
        <v>78</v>
      </c>
    </row>
    <row r="961" spans="1:9">
      <c r="A961" s="2" t="s">
        <v>3473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7">
        <v>0</v>
      </c>
      <c r="I961" t="s">
        <v>78</v>
      </c>
    </row>
    <row r="962" spans="1:9">
      <c r="A962" s="2" t="s">
        <v>3474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7">
        <v>0</v>
      </c>
      <c r="I962" t="s">
        <v>78</v>
      </c>
    </row>
    <row r="963" spans="1:9">
      <c r="A963" s="2" t="s">
        <v>1980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7">
        <v>0</v>
      </c>
      <c r="I963" t="s">
        <v>78</v>
      </c>
    </row>
    <row r="964" spans="1:9">
      <c r="A964" s="2" t="s">
        <v>1981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7">
        <v>0</v>
      </c>
      <c r="I964" t="s">
        <v>78</v>
      </c>
    </row>
    <row r="965" spans="1:9">
      <c r="A965" s="2" t="s">
        <v>3475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7">
        <v>0</v>
      </c>
      <c r="I965" t="s">
        <v>78</v>
      </c>
    </row>
    <row r="966" spans="1:9">
      <c r="A966" s="2" t="s">
        <v>3476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7">
        <v>0</v>
      </c>
      <c r="I966" t="s">
        <v>78</v>
      </c>
    </row>
    <row r="967" spans="1:9">
      <c r="A967" s="2" t="s">
        <v>3477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7">
        <v>0</v>
      </c>
      <c r="I967" t="s">
        <v>78</v>
      </c>
    </row>
    <row r="968" spans="1:9">
      <c r="A968" s="2" t="s">
        <v>3478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7">
        <v>0</v>
      </c>
      <c r="I968" t="s">
        <v>78</v>
      </c>
    </row>
    <row r="969" spans="1:9">
      <c r="A969" s="2" t="s">
        <v>3479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7">
        <v>0</v>
      </c>
      <c r="I969" t="s">
        <v>78</v>
      </c>
    </row>
    <row r="970" spans="1:9">
      <c r="A970" s="2" t="s">
        <v>3480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7">
        <v>0</v>
      </c>
      <c r="I970" t="s">
        <v>78</v>
      </c>
    </row>
    <row r="971" spans="1:9">
      <c r="A971" t="s">
        <v>3481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7">
        <v>0</v>
      </c>
      <c r="I971" t="s">
        <v>78</v>
      </c>
    </row>
    <row r="972" spans="1:9">
      <c r="A972" s="2" t="s">
        <v>3482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7">
        <v>0</v>
      </c>
      <c r="I972" t="s">
        <v>78</v>
      </c>
    </row>
    <row r="973" spans="1:9">
      <c r="A973" s="2" t="s">
        <v>3483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7">
        <v>0</v>
      </c>
      <c r="I973" t="s">
        <v>78</v>
      </c>
    </row>
    <row r="974" spans="1:9">
      <c r="A974" s="2" t="s">
        <v>3484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7">
        <v>0</v>
      </c>
      <c r="I974" t="s">
        <v>78</v>
      </c>
    </row>
    <row r="975" spans="1:9">
      <c r="A975" s="2" t="s">
        <v>3485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7">
        <v>0</v>
      </c>
      <c r="I975" t="s">
        <v>78</v>
      </c>
    </row>
    <row r="976" spans="1:9">
      <c r="A976" s="2" t="s">
        <v>3486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7">
        <v>0</v>
      </c>
      <c r="I976" t="s">
        <v>78</v>
      </c>
    </row>
    <row r="977" spans="1:9">
      <c r="A977" s="2" t="s">
        <v>3487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7">
        <v>0</v>
      </c>
      <c r="I977" t="s">
        <v>78</v>
      </c>
    </row>
    <row r="978" spans="1:9">
      <c r="A978" s="2" t="s">
        <v>3488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7">
        <v>0</v>
      </c>
      <c r="I978" t="s">
        <v>78</v>
      </c>
    </row>
    <row r="979" spans="1:9">
      <c r="A979" s="2" t="s">
        <v>3489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7">
        <v>0</v>
      </c>
      <c r="I979" t="s">
        <v>78</v>
      </c>
    </row>
    <row r="980" spans="1:9">
      <c r="A980" s="2" t="s">
        <v>3490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7">
        <v>0</v>
      </c>
      <c r="I980" t="s">
        <v>78</v>
      </c>
    </row>
    <row r="981" spans="1:9">
      <c r="A981" s="2" t="s">
        <v>3491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7">
        <v>0</v>
      </c>
      <c r="I981" t="s">
        <v>78</v>
      </c>
    </row>
    <row r="982" spans="1:9">
      <c r="A982" s="2" t="s">
        <v>3492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7">
        <v>0</v>
      </c>
      <c r="I982" t="s">
        <v>78</v>
      </c>
    </row>
    <row r="983" spans="1:9">
      <c r="A983" s="2" t="s">
        <v>3493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7">
        <v>0</v>
      </c>
      <c r="I983" t="s">
        <v>78</v>
      </c>
    </row>
    <row r="984" spans="1:9">
      <c r="A984" s="2" t="s">
        <v>3494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7">
        <v>0</v>
      </c>
      <c r="I984" t="s">
        <v>78</v>
      </c>
    </row>
    <row r="985" spans="1:9">
      <c r="A985" s="2" t="s">
        <v>3495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7">
        <v>0</v>
      </c>
      <c r="I985" t="s">
        <v>78</v>
      </c>
    </row>
    <row r="986" spans="1:9">
      <c r="A986" s="2" t="s">
        <v>3496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7">
        <v>0</v>
      </c>
      <c r="I986" t="s">
        <v>78</v>
      </c>
    </row>
    <row r="987" spans="1:9">
      <c r="A987" s="2" t="s">
        <v>3497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7">
        <v>0</v>
      </c>
      <c r="I987" t="s">
        <v>78</v>
      </c>
    </row>
    <row r="988" spans="1:9">
      <c r="A988" s="2" t="s">
        <v>3498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7">
        <v>0</v>
      </c>
      <c r="I988" t="s">
        <v>78</v>
      </c>
    </row>
    <row r="989" spans="1:9">
      <c r="A989" s="2" t="s">
        <v>3499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7">
        <v>0</v>
      </c>
      <c r="I989" t="s">
        <v>78</v>
      </c>
    </row>
    <row r="990" spans="1:9">
      <c r="A990" s="2" t="s">
        <v>3500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7">
        <v>0</v>
      </c>
      <c r="I990" t="s">
        <v>78</v>
      </c>
    </row>
    <row r="991" spans="1:9">
      <c r="A991" s="2" t="s">
        <v>3501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7">
        <v>0</v>
      </c>
      <c r="I991" t="s">
        <v>78</v>
      </c>
    </row>
    <row r="992" spans="1:9">
      <c r="A992" s="2" t="s">
        <v>3502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7">
        <v>0</v>
      </c>
      <c r="I992" t="s">
        <v>78</v>
      </c>
    </row>
    <row r="993" spans="1:9">
      <c r="A993" s="2" t="s">
        <v>3503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7">
        <v>0</v>
      </c>
      <c r="I993" t="s">
        <v>78</v>
      </c>
    </row>
    <row r="994" spans="1:9">
      <c r="A994" s="2" t="s">
        <v>3504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7">
        <v>0</v>
      </c>
      <c r="I994" t="s">
        <v>78</v>
      </c>
    </row>
    <row r="995" spans="1:9">
      <c r="A995" t="s">
        <v>3505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7">
        <v>0</v>
      </c>
      <c r="I995" t="s">
        <v>78</v>
      </c>
    </row>
    <row r="996" spans="1:9">
      <c r="A996" s="2" t="s">
        <v>3506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7">
        <v>0</v>
      </c>
      <c r="I996" t="s">
        <v>78</v>
      </c>
    </row>
    <row r="997" spans="1:9">
      <c r="A997" s="2" t="s">
        <v>3507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7">
        <v>0</v>
      </c>
      <c r="I997" t="s">
        <v>78</v>
      </c>
    </row>
    <row r="998" spans="1:9">
      <c r="A998" s="2" t="s">
        <v>3508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7">
        <v>0</v>
      </c>
      <c r="I998" t="s">
        <v>78</v>
      </c>
    </row>
    <row r="999" spans="1:9">
      <c r="A999" s="2" t="s">
        <v>3509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7">
        <v>0</v>
      </c>
      <c r="I999" t="s">
        <v>78</v>
      </c>
    </row>
    <row r="1000" spans="1:9">
      <c r="A1000" s="2" t="s">
        <v>3510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7">
        <v>0</v>
      </c>
      <c r="I1000" t="s">
        <v>78</v>
      </c>
    </row>
    <row r="1001" spans="1:9">
      <c r="A1001" s="2" t="s">
        <v>3511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7">
        <v>0</v>
      </c>
      <c r="I1001" t="s">
        <v>78</v>
      </c>
    </row>
    <row r="1002" spans="1:9">
      <c r="A1002" s="2" t="s">
        <v>3512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7">
        <v>0</v>
      </c>
      <c r="I1002" t="s">
        <v>78</v>
      </c>
    </row>
    <row r="1003" spans="1:9">
      <c r="A1003" s="2" t="s">
        <v>3513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7">
        <v>0</v>
      </c>
      <c r="I1003" t="s">
        <v>78</v>
      </c>
    </row>
    <row r="1004" spans="1:9">
      <c r="A1004" s="2" t="s">
        <v>3514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7">
        <v>0</v>
      </c>
      <c r="I1004" t="s">
        <v>78</v>
      </c>
    </row>
    <row r="1005" spans="1:9">
      <c r="A1005" s="2" t="s">
        <v>3515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7">
        <v>0</v>
      </c>
      <c r="I1005" t="s">
        <v>78</v>
      </c>
    </row>
    <row r="1006" spans="1:9">
      <c r="A1006" s="2" t="s">
        <v>3516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7">
        <v>0</v>
      </c>
      <c r="I1006" t="s">
        <v>78</v>
      </c>
    </row>
    <row r="1007" spans="1:9">
      <c r="A1007" s="2" t="s">
        <v>3517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7">
        <v>0</v>
      </c>
      <c r="I1007" t="s">
        <v>78</v>
      </c>
    </row>
    <row r="1008" spans="1:9">
      <c r="A1008" s="2" t="s">
        <v>3518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7">
        <v>0</v>
      </c>
      <c r="I1008" t="s">
        <v>78</v>
      </c>
    </row>
    <row r="1009" spans="1:9">
      <c r="A1009" s="2" t="s">
        <v>3519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7">
        <v>0</v>
      </c>
      <c r="I1009" t="s">
        <v>78</v>
      </c>
    </row>
    <row r="1010" spans="1:9">
      <c r="A1010" s="2" t="s">
        <v>3520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7">
        <v>0</v>
      </c>
      <c r="I1010" t="s">
        <v>78</v>
      </c>
    </row>
    <row r="1011" spans="1:9">
      <c r="A1011" t="s">
        <v>3570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7">
        <v>0</v>
      </c>
      <c r="I1011" t="s">
        <v>78</v>
      </c>
    </row>
    <row r="1012" spans="1:9">
      <c r="A1012" s="2" t="s">
        <v>3562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7">
        <v>0</v>
      </c>
      <c r="I1012" t="s">
        <v>78</v>
      </c>
    </row>
    <row r="1013" spans="1:9">
      <c r="A1013" s="2" t="s">
        <v>3574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3" s="7">
        <v>0</v>
      </c>
      <c r="I1013" t="s">
        <v>78</v>
      </c>
    </row>
    <row r="1014" spans="1:9">
      <c r="A1014" s="2" t="s">
        <v>3577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4" s="7">
        <v>0</v>
      </c>
      <c r="I1014" t="s">
        <v>78</v>
      </c>
    </row>
    <row r="1015" spans="1:9">
      <c r="A1015" t="s">
        <v>3582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5" s="7">
        <v>0</v>
      </c>
      <c r="I1015" t="s">
        <v>78</v>
      </c>
    </row>
    <row r="1016" spans="1:9">
      <c r="A1016" s="2" t="s">
        <v>3575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6" s="7">
        <v>0</v>
      </c>
      <c r="I1016" t="s">
        <v>78</v>
      </c>
    </row>
    <row r="1017" spans="1:9">
      <c r="A1017" s="2" t="s">
        <v>3585</v>
      </c>
      <c r="B1017" t="b">
        <v>1</v>
      </c>
      <c r="C10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7" s="2" t="b">
        <v>0</v>
      </c>
      <c r="E1017" s="2" t="b">
        <v>0</v>
      </c>
      <c r="F1017" s="2" t="b">
        <v>0</v>
      </c>
      <c r="G10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7" s="7">
        <v>0</v>
      </c>
      <c r="I1017" t="s">
        <v>78</v>
      </c>
    </row>
    <row r="1018" spans="1:9">
      <c r="A1018" s="2" t="s">
        <v>3626</v>
      </c>
      <c r="B1018" t="b">
        <v>1</v>
      </c>
      <c r="C10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8" s="2" t="b">
        <v>0</v>
      </c>
      <c r="E1018" s="2" t="b">
        <v>0</v>
      </c>
      <c r="F1018" s="2" t="b">
        <v>0</v>
      </c>
      <c r="G10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8" s="7">
        <v>0</v>
      </c>
      <c r="I1018" t="s">
        <v>78</v>
      </c>
    </row>
    <row r="1019" spans="1:9">
      <c r="A1019" s="2" t="s">
        <v>3643</v>
      </c>
      <c r="B1019" t="b">
        <v>1</v>
      </c>
      <c r="C10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19" s="2" t="b">
        <v>0</v>
      </c>
      <c r="E1019" s="2" t="b">
        <v>0</v>
      </c>
      <c r="F1019" s="2" t="b">
        <v>0</v>
      </c>
      <c r="G10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19" s="7">
        <v>0</v>
      </c>
      <c r="I1019" t="s">
        <v>78</v>
      </c>
    </row>
    <row r="1020" spans="1:9">
      <c r="A1020" s="2" t="s">
        <v>3646</v>
      </c>
      <c r="B1020" t="b">
        <v>1</v>
      </c>
      <c r="C10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0" s="2" t="b">
        <v>0</v>
      </c>
      <c r="E1020" s="2" t="b">
        <v>0</v>
      </c>
      <c r="F1020" s="2" t="b">
        <v>0</v>
      </c>
      <c r="G10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0" s="7">
        <v>0</v>
      </c>
      <c r="I1020" t="s">
        <v>78</v>
      </c>
    </row>
    <row r="1021" spans="1:9">
      <c r="A1021" s="2" t="s">
        <v>3656</v>
      </c>
      <c r="B1021" t="b">
        <v>1</v>
      </c>
      <c r="C10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1" s="2" t="b">
        <v>0</v>
      </c>
      <c r="E1021" s="2" t="b">
        <v>0</v>
      </c>
      <c r="F1021" s="2" t="b">
        <v>0</v>
      </c>
      <c r="G10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1" s="7">
        <v>0</v>
      </c>
      <c r="I1021" t="s">
        <v>78</v>
      </c>
    </row>
    <row r="1022" spans="1:9">
      <c r="A1022" s="2" t="s">
        <v>3661</v>
      </c>
      <c r="B1022" t="b">
        <v>1</v>
      </c>
      <c r="C10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2" s="2" t="b">
        <v>0</v>
      </c>
      <c r="E1022" s="2" t="b">
        <v>0</v>
      </c>
      <c r="F1022" s="2" t="b">
        <v>0</v>
      </c>
      <c r="G10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2" s="7">
        <v>0</v>
      </c>
      <c r="I1022" t="s">
        <v>78</v>
      </c>
    </row>
    <row r="1023" spans="1:9">
      <c r="A1023" s="2" t="s">
        <v>3660</v>
      </c>
      <c r="B1023" t="b">
        <v>1</v>
      </c>
      <c r="C10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3" s="2" t="b">
        <v>0</v>
      </c>
      <c r="E1023" s="2" t="b">
        <v>0</v>
      </c>
      <c r="F1023" s="2" t="b">
        <v>0</v>
      </c>
      <c r="G10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3" s="7">
        <v>0</v>
      </c>
      <c r="I1023" t="s">
        <v>78</v>
      </c>
    </row>
    <row r="1024" spans="1:9">
      <c r="A1024" s="2" t="s">
        <v>3667</v>
      </c>
      <c r="B1024" t="b">
        <v>1</v>
      </c>
      <c r="C10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4" s="2" t="b">
        <v>0</v>
      </c>
      <c r="E1024" s="2" t="b">
        <v>0</v>
      </c>
      <c r="F1024" s="2" t="b">
        <v>1</v>
      </c>
      <c r="G10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4" s="7">
        <v>0</v>
      </c>
      <c r="I1024" t="s">
        <v>78</v>
      </c>
    </row>
    <row r="1025" spans="1:9">
      <c r="A1025" s="2" t="s">
        <v>3669</v>
      </c>
      <c r="B1025" t="b">
        <v>1</v>
      </c>
      <c r="C10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5" s="2" t="b">
        <v>0</v>
      </c>
      <c r="E1025" s="2" t="b">
        <v>0</v>
      </c>
      <c r="F1025" s="2" t="b">
        <v>0</v>
      </c>
      <c r="G10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5" s="7">
        <v>0</v>
      </c>
      <c r="I1025" t="s">
        <v>78</v>
      </c>
    </row>
    <row r="1026" spans="1:9">
      <c r="A1026" s="2" t="s">
        <v>3672</v>
      </c>
      <c r="B1026" t="b">
        <v>1</v>
      </c>
      <c r="C10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6" s="2" t="b">
        <v>0</v>
      </c>
      <c r="E1026" s="2" t="b">
        <v>0</v>
      </c>
      <c r="F1026" s="2" t="b">
        <v>0</v>
      </c>
      <c r="G10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6" s="7">
        <v>0</v>
      </c>
      <c r="I1026" t="s">
        <v>78</v>
      </c>
    </row>
    <row r="1027" spans="1:9">
      <c r="A1027" s="2" t="s">
        <v>3677</v>
      </c>
      <c r="B1027" t="b">
        <v>1</v>
      </c>
      <c r="C10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7" s="2" t="b">
        <v>0</v>
      </c>
      <c r="E1027" s="2" t="b">
        <v>0</v>
      </c>
      <c r="F1027" s="2" t="b">
        <v>0</v>
      </c>
      <c r="G10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7" s="7">
        <v>0</v>
      </c>
      <c r="I1027" t="s">
        <v>78</v>
      </c>
    </row>
    <row r="1028" spans="1:9">
      <c r="A1028" s="2" t="s">
        <v>3678</v>
      </c>
      <c r="B1028" t="b">
        <v>1</v>
      </c>
      <c r="C10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8" s="2" t="b">
        <v>0</v>
      </c>
      <c r="E1028" s="2" t="b">
        <v>0</v>
      </c>
      <c r="F1028" s="2" t="b">
        <v>0</v>
      </c>
      <c r="G10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8" s="7">
        <v>0</v>
      </c>
      <c r="I1028" t="s">
        <v>78</v>
      </c>
    </row>
    <row r="1029" spans="1:9">
      <c r="A1029" s="2" t="s">
        <v>3682</v>
      </c>
      <c r="B1029" t="b">
        <v>1</v>
      </c>
      <c r="C10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9" s="2" t="b">
        <v>0</v>
      </c>
      <c r="E1029" s="2" t="b">
        <v>0</v>
      </c>
      <c r="F1029" s="2" t="b">
        <v>0</v>
      </c>
      <c r="G10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9" s="7">
        <v>0</v>
      </c>
      <c r="I1029" t="s">
        <v>78</v>
      </c>
    </row>
    <row r="1030" spans="1:9">
      <c r="A1030" s="2" t="s">
        <v>3684</v>
      </c>
      <c r="B1030" t="b">
        <v>1</v>
      </c>
      <c r="C10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0" s="2" t="b">
        <v>0</v>
      </c>
      <c r="E1030" s="2" t="b">
        <v>0</v>
      </c>
      <c r="F1030" s="2" t="b">
        <v>0</v>
      </c>
      <c r="G10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0" s="7">
        <v>0</v>
      </c>
      <c r="I1030" t="s">
        <v>78</v>
      </c>
    </row>
    <row r="1031" spans="1:9">
      <c r="A1031" s="2" t="s">
        <v>3689</v>
      </c>
      <c r="B1031" t="b">
        <v>1</v>
      </c>
      <c r="C10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1" s="2" t="b">
        <v>0</v>
      </c>
      <c r="E1031" s="2" t="b">
        <v>0</v>
      </c>
      <c r="F1031" s="2" t="b">
        <v>0</v>
      </c>
      <c r="G10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31" s="7">
        <v>0</v>
      </c>
      <c r="I1031" t="s">
        <v>78</v>
      </c>
    </row>
    <row r="1032" spans="1:9">
      <c r="A1032" s="2" t="s">
        <v>3690</v>
      </c>
      <c r="B1032" t="b">
        <v>1</v>
      </c>
      <c r="C10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2" s="2" t="b">
        <v>0</v>
      </c>
      <c r="E1032" s="2" t="b">
        <v>0</v>
      </c>
      <c r="F1032" s="2" t="b">
        <v>0</v>
      </c>
      <c r="G10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32" s="7">
        <v>0</v>
      </c>
      <c r="I1032" t="s">
        <v>78</v>
      </c>
    </row>
    <row r="1033" spans="1:9">
      <c r="A1033" s="2" t="s">
        <v>3692</v>
      </c>
      <c r="B1033" t="b">
        <v>1</v>
      </c>
      <c r="C10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3" s="2" t="b">
        <v>0</v>
      </c>
      <c r="E1033" s="2" t="b">
        <v>0</v>
      </c>
      <c r="F1033" s="2" t="b">
        <v>0</v>
      </c>
      <c r="G10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3" s="7">
        <v>0</v>
      </c>
      <c r="I1033" t="s">
        <v>78</v>
      </c>
    </row>
    <row r="1034" spans="1:9">
      <c r="A1034" s="2" t="s">
        <v>3691</v>
      </c>
      <c r="B1034" t="b">
        <v>1</v>
      </c>
      <c r="C10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4" s="2" t="b">
        <v>0</v>
      </c>
      <c r="E1034" s="2" t="b">
        <v>0</v>
      </c>
      <c r="F1034" s="2" t="b">
        <v>0</v>
      </c>
      <c r="G10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4" s="7">
        <v>0</v>
      </c>
      <c r="I1034" t="s">
        <v>78</v>
      </c>
    </row>
    <row r="1035" spans="1:9">
      <c r="A1035" s="2" t="s">
        <v>3698</v>
      </c>
      <c r="B1035" t="b">
        <v>1</v>
      </c>
      <c r="C10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5" s="2" t="b">
        <v>0</v>
      </c>
      <c r="E1035" s="2" t="b">
        <v>0</v>
      </c>
      <c r="F1035" s="2" t="b">
        <v>1</v>
      </c>
      <c r="G10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5" s="7">
        <v>0</v>
      </c>
      <c r="I1035" t="s">
        <v>78</v>
      </c>
    </row>
    <row r="1036" spans="1:9">
      <c r="A1036" s="2" t="s">
        <v>3700</v>
      </c>
      <c r="B1036" t="b">
        <v>1</v>
      </c>
      <c r="C10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6" s="2" t="b">
        <v>0</v>
      </c>
      <c r="E1036" s="2" t="b">
        <v>0</v>
      </c>
      <c r="F1036" s="2" t="b">
        <v>0</v>
      </c>
      <c r="G10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6" s="7">
        <v>0</v>
      </c>
      <c r="I1036" t="s">
        <v>78</v>
      </c>
    </row>
    <row r="1037" spans="1:9">
      <c r="A1037" s="2" t="s">
        <v>3701</v>
      </c>
      <c r="B1037" t="b">
        <v>1</v>
      </c>
      <c r="C10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7" s="2" t="b">
        <v>0</v>
      </c>
      <c r="E1037" s="2" t="b">
        <v>0</v>
      </c>
      <c r="F1037" s="2" t="b">
        <v>0</v>
      </c>
      <c r="G10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7" s="7">
        <v>0</v>
      </c>
      <c r="I1037" t="s">
        <v>78</v>
      </c>
    </row>
    <row r="1038" spans="1:9">
      <c r="A1038" s="2" t="s">
        <v>3702</v>
      </c>
      <c r="B1038" t="b">
        <v>1</v>
      </c>
      <c r="C10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8" s="2" t="b">
        <v>0</v>
      </c>
      <c r="E1038" s="2" t="b">
        <v>0</v>
      </c>
      <c r="F1038" s="2" t="b">
        <v>0</v>
      </c>
      <c r="G10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8" s="7">
        <v>0</v>
      </c>
      <c r="I1038" t="s">
        <v>78</v>
      </c>
    </row>
    <row r="1039" spans="1:9">
      <c r="A1039" s="2" t="s">
        <v>3703</v>
      </c>
      <c r="B1039" t="b">
        <v>1</v>
      </c>
      <c r="C10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9" s="2" t="b">
        <v>0</v>
      </c>
      <c r="E1039" s="2" t="b">
        <v>0</v>
      </c>
      <c r="F1039" s="2" t="b">
        <v>0</v>
      </c>
      <c r="G10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9" s="7">
        <v>0</v>
      </c>
      <c r="I1039" t="s">
        <v>78</v>
      </c>
    </row>
    <row r="1040" spans="1:9">
      <c r="A1040" s="2" t="s">
        <v>3706</v>
      </c>
      <c r="B1040" t="b">
        <v>1</v>
      </c>
      <c r="C10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0" s="2" t="b">
        <v>0</v>
      </c>
      <c r="E1040" s="2" t="b">
        <v>0</v>
      </c>
      <c r="F1040" s="2" t="b">
        <v>0</v>
      </c>
      <c r="G10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40" s="7">
        <v>0</v>
      </c>
      <c r="I1040" t="s">
        <v>78</v>
      </c>
    </row>
    <row r="1041" spans="1:9">
      <c r="A1041" s="2" t="s">
        <v>3708</v>
      </c>
      <c r="B1041" t="b">
        <v>1</v>
      </c>
      <c r="C10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1" s="2" t="b">
        <v>0</v>
      </c>
      <c r="E1041" s="2" t="b">
        <v>0</v>
      </c>
      <c r="F1041" s="2" t="b">
        <v>0</v>
      </c>
      <c r="G10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41" s="7">
        <v>0</v>
      </c>
      <c r="I1041" t="s">
        <v>78</v>
      </c>
    </row>
    <row r="1042" spans="1:9">
      <c r="A1042" s="2" t="s">
        <v>3712</v>
      </c>
      <c r="B1042" t="b">
        <v>1</v>
      </c>
      <c r="C10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2" s="2" t="b">
        <v>0</v>
      </c>
      <c r="E1042" s="2" t="b">
        <v>0</v>
      </c>
      <c r="F1042" s="2" t="b">
        <v>0</v>
      </c>
      <c r="G10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42" s="7">
        <v>0</v>
      </c>
      <c r="I1042" t="s">
        <v>78</v>
      </c>
    </row>
    <row r="1043" spans="1:9">
      <c r="A1043" s="2" t="s">
        <v>3714</v>
      </c>
      <c r="B1043" t="b">
        <v>1</v>
      </c>
      <c r="C10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3" s="2" t="b">
        <v>0</v>
      </c>
      <c r="E1043" s="2" t="b">
        <v>0</v>
      </c>
      <c r="F1043" s="2" t="b">
        <v>0</v>
      </c>
      <c r="G10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43" s="7">
        <v>0</v>
      </c>
      <c r="I1043" t="s">
        <v>78</v>
      </c>
    </row>
    <row r="1044" spans="1:9">
      <c r="A1044" t="s">
        <v>3719</v>
      </c>
      <c r="B1044" t="b">
        <v>1</v>
      </c>
      <c r="C10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4" s="2" t="b">
        <v>0</v>
      </c>
      <c r="E1044" s="2" t="b">
        <v>0</v>
      </c>
      <c r="F1044" s="2" t="b">
        <v>0</v>
      </c>
      <c r="G10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44" s="7">
        <v>0</v>
      </c>
      <c r="I1044" t="s">
        <v>78</v>
      </c>
    </row>
    <row r="1045" spans="1:9">
      <c r="A1045" t="s">
        <v>3717</v>
      </c>
      <c r="B1045" t="b">
        <v>1</v>
      </c>
      <c r="C10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5" s="2" t="b">
        <v>0</v>
      </c>
      <c r="E1045" s="2" t="b">
        <v>0</v>
      </c>
      <c r="F1045" s="2" t="b">
        <v>0</v>
      </c>
      <c r="G10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45" s="7">
        <v>0</v>
      </c>
      <c r="I1045" t="s">
        <v>78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7">
        <v>0</v>
      </c>
      <c r="I1046" t="s">
        <v>78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7">
        <v>0</v>
      </c>
      <c r="I1047" t="s">
        <v>78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7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7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7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7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7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7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7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7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7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7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7">
        <v>0</v>
      </c>
      <c r="I1058" t="s">
        <v>78</v>
      </c>
    </row>
  </sheetData>
  <conditionalFormatting sqref="A893:A940">
    <cfRule type="containsText" dxfId="28" priority="84" operator="containsText" text=" ">
      <formula>NOT(ISERROR(SEARCH(" ",A893)))</formula>
    </cfRule>
  </conditionalFormatting>
  <conditionalFormatting sqref="A942:A943">
    <cfRule type="containsText" dxfId="27" priority="82" operator="containsText" text=" ">
      <formula>NOT(ISERROR(SEARCH(" ",A942)))</formula>
    </cfRule>
  </conditionalFormatting>
  <conditionalFormatting sqref="A946:A950">
    <cfRule type="containsText" dxfId="26" priority="79" operator="containsText" text=" ">
      <formula>NOT(ISERROR(SEARCH(" ",A946)))</formula>
    </cfRule>
  </conditionalFormatting>
  <conditionalFormatting sqref="A952:A953">
    <cfRule type="containsText" dxfId="25" priority="76" operator="containsText" text=" ">
      <formula>NOT(ISERROR(SEARCH(" ",A952)))</formula>
    </cfRule>
  </conditionalFormatting>
  <conditionalFormatting sqref="A956:A971">
    <cfRule type="containsText" dxfId="24" priority="59" operator="containsText" text=" ">
      <formula>NOT(ISERROR(SEARCH(" ",A956)))</formula>
    </cfRule>
  </conditionalFormatting>
  <conditionalFormatting sqref="A974:A977">
    <cfRule type="containsText" dxfId="23" priority="55" operator="containsText" text=" ">
      <formula>NOT(ISERROR(SEARCH(" ",A974)))</formula>
    </cfRule>
  </conditionalFormatting>
  <conditionalFormatting sqref="A979:A982">
    <cfRule type="containsText" dxfId="22" priority="51" operator="containsText" text=" ">
      <formula>NOT(ISERROR(SEARCH(" ",A979)))</formula>
    </cfRule>
  </conditionalFormatting>
  <conditionalFormatting sqref="A985:A986">
    <cfRule type="containsText" dxfId="21" priority="49" operator="containsText" text=" ">
      <formula>NOT(ISERROR(SEARCH(" ",A985)))</formula>
    </cfRule>
  </conditionalFormatting>
  <conditionalFormatting sqref="A988:A991">
    <cfRule type="containsText" dxfId="20" priority="45" operator="containsText" text=" ">
      <formula>NOT(ISERROR(SEARCH(" ",A988)))</formula>
    </cfRule>
  </conditionalFormatting>
  <conditionalFormatting sqref="A994:A1029">
    <cfRule type="containsText" dxfId="19" priority="10" operator="containsText" text=" ">
      <formula>NOT(ISERROR(SEARCH(" ",A994)))</formula>
    </cfRule>
  </conditionalFormatting>
  <conditionalFormatting sqref="A1031:A1045">
    <cfRule type="containsText" dxfId="18" priority="1" operator="containsText" text=" ">
      <formula>NOT(ISERROR(SEARCH(" ",A1031)))</formula>
    </cfRule>
  </conditionalFormatting>
  <conditionalFormatting sqref="D1 B2:F1058">
    <cfRule type="cellIs" dxfId="17" priority="78" operator="equal">
      <formula>FALSE</formula>
    </cfRule>
  </conditionalFormatting>
  <conditionalFormatting sqref="E1:F1">
    <cfRule type="cellIs" dxfId="16" priority="134" operator="equal">
      <formula>FALSE</formula>
    </cfRule>
  </conditionalFormatting>
  <dataValidations count="1">
    <dataValidation type="list" allowBlank="1" showInputMessage="1" showErrorMessage="1" sqref="B2:F1058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244"/>
  <sheetViews>
    <sheetView zoomScaleNormal="100" workbookViewId="0">
      <pane xSplit="1" ySplit="1" topLeftCell="B1019" activePane="bottomRight" state="frozen"/>
      <selection activeCell="Q19" sqref="Q19"/>
      <selection pane="topRight" activeCell="Q19" sqref="Q19"/>
      <selection pane="bottomLeft" activeCell="Q19" sqref="Q19"/>
      <selection pane="bottomRight" activeCell="A1044" sqref="A1044:A1045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7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560</v>
      </c>
      <c r="C1" s="1" t="s">
        <v>532</v>
      </c>
      <c r="D1" s="1" t="s">
        <v>542</v>
      </c>
    </row>
    <row r="2" spans="1:11">
      <c r="A2" t="s">
        <v>80</v>
      </c>
      <c r="B2" t="s">
        <v>561</v>
      </c>
      <c r="C2" t="s">
        <v>534</v>
      </c>
      <c r="D2" t="s">
        <v>548</v>
      </c>
      <c r="K2"/>
    </row>
    <row r="3" spans="1:11">
      <c r="A3" t="s">
        <v>81</v>
      </c>
      <c r="B3" t="s">
        <v>561</v>
      </c>
      <c r="C3" t="s">
        <v>534</v>
      </c>
      <c r="D3" t="s">
        <v>548</v>
      </c>
      <c r="K3"/>
    </row>
    <row r="4" spans="1:11">
      <c r="A4" t="s">
        <v>2729</v>
      </c>
      <c r="B4" t="s">
        <v>561</v>
      </c>
      <c r="C4" t="s">
        <v>534</v>
      </c>
      <c r="D4" t="s">
        <v>544</v>
      </c>
      <c r="K4"/>
    </row>
    <row r="5" spans="1:11">
      <c r="A5" t="s">
        <v>2730</v>
      </c>
      <c r="B5" t="s">
        <v>561</v>
      </c>
      <c r="C5" t="s">
        <v>541</v>
      </c>
      <c r="D5" t="s">
        <v>544</v>
      </c>
      <c r="K5"/>
    </row>
    <row r="6" spans="1:11">
      <c r="A6" t="s">
        <v>2731</v>
      </c>
      <c r="B6" t="s">
        <v>561</v>
      </c>
      <c r="C6" t="s">
        <v>541</v>
      </c>
      <c r="D6" t="s">
        <v>544</v>
      </c>
      <c r="K6"/>
    </row>
    <row r="7" spans="1:11">
      <c r="A7" t="s">
        <v>2732</v>
      </c>
      <c r="B7" t="s">
        <v>561</v>
      </c>
      <c r="C7" t="s">
        <v>541</v>
      </c>
      <c r="D7" t="s">
        <v>544</v>
      </c>
      <c r="K7"/>
    </row>
    <row r="8" spans="1:11">
      <c r="A8" t="s">
        <v>2733</v>
      </c>
      <c r="B8" t="s">
        <v>561</v>
      </c>
      <c r="C8" t="s">
        <v>534</v>
      </c>
      <c r="D8" t="s">
        <v>544</v>
      </c>
      <c r="K8"/>
    </row>
    <row r="9" spans="1:11">
      <c r="A9" t="s">
        <v>2734</v>
      </c>
      <c r="B9" t="s">
        <v>561</v>
      </c>
      <c r="C9" t="s">
        <v>536</v>
      </c>
      <c r="D9" t="s">
        <v>544</v>
      </c>
      <c r="K9"/>
    </row>
    <row r="10" spans="1:11">
      <c r="A10" t="s">
        <v>2735</v>
      </c>
      <c r="B10" t="s">
        <v>561</v>
      </c>
      <c r="C10" t="s">
        <v>541</v>
      </c>
      <c r="D10" t="s">
        <v>544</v>
      </c>
      <c r="K10"/>
    </row>
    <row r="11" spans="1:11">
      <c r="A11" t="s">
        <v>2736</v>
      </c>
      <c r="B11" t="s">
        <v>561</v>
      </c>
      <c r="C11" t="s">
        <v>541</v>
      </c>
      <c r="D11" t="s">
        <v>544</v>
      </c>
      <c r="K11"/>
    </row>
    <row r="12" spans="1:11">
      <c r="A12" t="s">
        <v>2737</v>
      </c>
      <c r="B12" t="s">
        <v>561</v>
      </c>
      <c r="C12" t="s">
        <v>534</v>
      </c>
      <c r="D12" t="s">
        <v>544</v>
      </c>
      <c r="K12"/>
    </row>
    <row r="13" spans="1:11">
      <c r="A13" t="s">
        <v>2738</v>
      </c>
      <c r="B13" t="s">
        <v>561</v>
      </c>
      <c r="C13" t="s">
        <v>534</v>
      </c>
      <c r="D13" t="s">
        <v>544</v>
      </c>
      <c r="K13"/>
    </row>
    <row r="14" spans="1:11">
      <c r="A14" t="s">
        <v>2739</v>
      </c>
      <c r="B14" t="s">
        <v>561</v>
      </c>
      <c r="C14" t="s">
        <v>534</v>
      </c>
      <c r="D14" t="s">
        <v>544</v>
      </c>
      <c r="K14"/>
    </row>
    <row r="15" spans="1:11">
      <c r="A15" t="s">
        <v>2740</v>
      </c>
      <c r="B15" t="s">
        <v>561</v>
      </c>
      <c r="C15" t="s">
        <v>534</v>
      </c>
      <c r="D15" t="s">
        <v>544</v>
      </c>
      <c r="K15"/>
    </row>
    <row r="16" spans="1:11">
      <c r="A16" t="s">
        <v>2741</v>
      </c>
      <c r="B16" t="s">
        <v>561</v>
      </c>
      <c r="C16" t="s">
        <v>534</v>
      </c>
      <c r="D16" t="s">
        <v>544</v>
      </c>
      <c r="K16"/>
    </row>
    <row r="17" spans="1:11">
      <c r="A17" t="s">
        <v>2742</v>
      </c>
      <c r="B17" t="s">
        <v>561</v>
      </c>
      <c r="C17" t="s">
        <v>534</v>
      </c>
      <c r="D17" t="s">
        <v>544</v>
      </c>
      <c r="K17"/>
    </row>
    <row r="18" spans="1:11">
      <c r="A18" t="s">
        <v>2743</v>
      </c>
      <c r="B18" t="s">
        <v>561</v>
      </c>
      <c r="C18" t="s">
        <v>534</v>
      </c>
      <c r="D18" t="s">
        <v>544</v>
      </c>
      <c r="K18"/>
    </row>
    <row r="19" spans="1:11">
      <c r="A19" t="s">
        <v>2744</v>
      </c>
      <c r="B19" t="s">
        <v>561</v>
      </c>
      <c r="C19" t="s">
        <v>534</v>
      </c>
      <c r="D19" t="s">
        <v>544</v>
      </c>
      <c r="K19"/>
    </row>
    <row r="20" spans="1:11">
      <c r="A20" t="s">
        <v>2745</v>
      </c>
      <c r="B20" t="s">
        <v>561</v>
      </c>
      <c r="C20" t="s">
        <v>534</v>
      </c>
      <c r="D20" t="s">
        <v>544</v>
      </c>
      <c r="K20"/>
    </row>
    <row r="21" spans="1:11">
      <c r="A21" t="s">
        <v>2746</v>
      </c>
      <c r="B21" t="s">
        <v>561</v>
      </c>
      <c r="C21" t="s">
        <v>534</v>
      </c>
      <c r="D21" t="s">
        <v>544</v>
      </c>
      <c r="K21"/>
    </row>
    <row r="22" spans="1:11">
      <c r="A22" t="s">
        <v>2747</v>
      </c>
      <c r="B22" t="s">
        <v>561</v>
      </c>
      <c r="C22" t="s">
        <v>534</v>
      </c>
      <c r="D22" t="s">
        <v>544</v>
      </c>
      <c r="K22"/>
    </row>
    <row r="23" spans="1:11">
      <c r="A23" t="s">
        <v>2748</v>
      </c>
      <c r="B23" t="s">
        <v>561</v>
      </c>
      <c r="C23" t="s">
        <v>534</v>
      </c>
      <c r="D23" t="s">
        <v>544</v>
      </c>
      <c r="K23"/>
    </row>
    <row r="24" spans="1:11">
      <c r="A24" t="s">
        <v>2749</v>
      </c>
      <c r="B24" t="s">
        <v>561</v>
      </c>
      <c r="C24" t="s">
        <v>534</v>
      </c>
      <c r="D24" t="s">
        <v>544</v>
      </c>
      <c r="K24"/>
    </row>
    <row r="25" spans="1:11">
      <c r="A25" t="s">
        <v>2750</v>
      </c>
      <c r="B25" t="s">
        <v>561</v>
      </c>
      <c r="C25" t="s">
        <v>534</v>
      </c>
      <c r="D25" t="s">
        <v>544</v>
      </c>
      <c r="K25"/>
    </row>
    <row r="26" spans="1:11">
      <c r="A26" t="s">
        <v>2751</v>
      </c>
      <c r="B26" t="s">
        <v>561</v>
      </c>
      <c r="C26" t="s">
        <v>534</v>
      </c>
      <c r="D26" t="s">
        <v>544</v>
      </c>
      <c r="K26"/>
    </row>
    <row r="27" spans="1:11">
      <c r="A27" t="s">
        <v>2752</v>
      </c>
      <c r="B27" t="s">
        <v>561</v>
      </c>
      <c r="C27" t="s">
        <v>534</v>
      </c>
      <c r="D27" t="s">
        <v>544</v>
      </c>
      <c r="K27"/>
    </row>
    <row r="28" spans="1:11">
      <c r="A28" t="s">
        <v>2753</v>
      </c>
      <c r="B28" t="s">
        <v>561</v>
      </c>
      <c r="C28" t="s">
        <v>534</v>
      </c>
      <c r="D28" t="s">
        <v>544</v>
      </c>
      <c r="K28"/>
    </row>
    <row r="29" spans="1:11">
      <c r="A29" t="s">
        <v>2754</v>
      </c>
      <c r="B29" t="s">
        <v>561</v>
      </c>
      <c r="C29" t="s">
        <v>534</v>
      </c>
      <c r="D29" t="s">
        <v>544</v>
      </c>
      <c r="K29"/>
    </row>
    <row r="30" spans="1:11">
      <c r="A30" t="s">
        <v>2755</v>
      </c>
      <c r="B30" t="s">
        <v>561</v>
      </c>
      <c r="C30" t="s">
        <v>537</v>
      </c>
      <c r="D30" t="s">
        <v>543</v>
      </c>
      <c r="K30"/>
    </row>
    <row r="31" spans="1:11">
      <c r="A31" t="s">
        <v>2756</v>
      </c>
      <c r="B31" t="s">
        <v>561</v>
      </c>
      <c r="C31" t="s">
        <v>534</v>
      </c>
      <c r="D31" t="s">
        <v>544</v>
      </c>
      <c r="K31"/>
    </row>
    <row r="32" spans="1:11">
      <c r="A32" t="s">
        <v>2757</v>
      </c>
      <c r="B32" t="s">
        <v>561</v>
      </c>
      <c r="C32" t="s">
        <v>534</v>
      </c>
      <c r="D32" t="s">
        <v>544</v>
      </c>
      <c r="K32"/>
    </row>
    <row r="33" spans="1:11">
      <c r="A33" t="s">
        <v>2758</v>
      </c>
      <c r="B33" t="s">
        <v>561</v>
      </c>
      <c r="C33" t="s">
        <v>534</v>
      </c>
      <c r="D33" t="s">
        <v>544</v>
      </c>
      <c r="K33"/>
    </row>
    <row r="34" spans="1:11">
      <c r="A34" t="s">
        <v>2759</v>
      </c>
      <c r="B34" t="s">
        <v>561</v>
      </c>
      <c r="C34" t="s">
        <v>534</v>
      </c>
      <c r="D34" t="s">
        <v>544</v>
      </c>
      <c r="K34"/>
    </row>
    <row r="35" spans="1:11">
      <c r="A35" t="s">
        <v>2760</v>
      </c>
      <c r="B35" t="s">
        <v>561</v>
      </c>
      <c r="C35" t="s">
        <v>541</v>
      </c>
      <c r="D35" t="s">
        <v>544</v>
      </c>
      <c r="K35"/>
    </row>
    <row r="36" spans="1:11">
      <c r="A36" t="s">
        <v>2761</v>
      </c>
      <c r="B36" t="s">
        <v>561</v>
      </c>
      <c r="C36" t="s">
        <v>534</v>
      </c>
      <c r="D36" t="s">
        <v>544</v>
      </c>
      <c r="K36"/>
    </row>
    <row r="37" spans="1:11">
      <c r="A37" t="s">
        <v>2762</v>
      </c>
      <c r="B37" t="s">
        <v>561</v>
      </c>
      <c r="C37" t="s">
        <v>534</v>
      </c>
      <c r="D37" t="s">
        <v>544</v>
      </c>
      <c r="K37"/>
    </row>
    <row r="38" spans="1:11">
      <c r="A38" t="s">
        <v>2763</v>
      </c>
      <c r="B38" t="s">
        <v>561</v>
      </c>
      <c r="C38" t="s">
        <v>534</v>
      </c>
      <c r="D38" t="s">
        <v>544</v>
      </c>
      <c r="K38"/>
    </row>
    <row r="39" spans="1:11">
      <c r="A39" t="s">
        <v>2764</v>
      </c>
      <c r="B39" t="s">
        <v>561</v>
      </c>
      <c r="C39" t="s">
        <v>534</v>
      </c>
      <c r="D39" t="s">
        <v>544</v>
      </c>
      <c r="K39"/>
    </row>
    <row r="40" spans="1:11">
      <c r="A40" t="s">
        <v>2765</v>
      </c>
      <c r="B40" t="s">
        <v>561</v>
      </c>
      <c r="C40" t="s">
        <v>534</v>
      </c>
      <c r="D40" t="s">
        <v>544</v>
      </c>
      <c r="K40"/>
    </row>
    <row r="41" spans="1:11">
      <c r="A41" t="s">
        <v>2766</v>
      </c>
      <c r="B41" t="s">
        <v>561</v>
      </c>
      <c r="C41" t="s">
        <v>534</v>
      </c>
      <c r="D41" t="s">
        <v>544</v>
      </c>
      <c r="K41"/>
    </row>
    <row r="42" spans="1:11">
      <c r="A42" t="s">
        <v>2767</v>
      </c>
      <c r="B42" t="s">
        <v>561</v>
      </c>
      <c r="C42" t="s">
        <v>534</v>
      </c>
      <c r="D42" t="s">
        <v>544</v>
      </c>
      <c r="K42"/>
    </row>
    <row r="43" spans="1:11">
      <c r="A43" t="s">
        <v>2768</v>
      </c>
      <c r="B43" t="s">
        <v>561</v>
      </c>
      <c r="C43" t="s">
        <v>534</v>
      </c>
      <c r="D43" t="s">
        <v>544</v>
      </c>
      <c r="K43"/>
    </row>
    <row r="44" spans="1:11">
      <c r="A44" t="s">
        <v>2769</v>
      </c>
      <c r="B44" t="s">
        <v>561</v>
      </c>
      <c r="C44" t="s">
        <v>534</v>
      </c>
      <c r="D44" t="s">
        <v>544</v>
      </c>
      <c r="K44"/>
    </row>
    <row r="45" spans="1:11">
      <c r="A45" t="s">
        <v>2770</v>
      </c>
      <c r="B45" t="s">
        <v>561</v>
      </c>
      <c r="C45" t="s">
        <v>534</v>
      </c>
      <c r="D45" t="s">
        <v>544</v>
      </c>
      <c r="K45"/>
    </row>
    <row r="46" spans="1:11">
      <c r="A46" t="s">
        <v>2771</v>
      </c>
      <c r="B46" t="s">
        <v>561</v>
      </c>
      <c r="C46" t="s">
        <v>534</v>
      </c>
      <c r="D46" t="s">
        <v>544</v>
      </c>
      <c r="K46"/>
    </row>
    <row r="47" spans="1:11">
      <c r="A47" t="s">
        <v>2772</v>
      </c>
      <c r="B47" t="s">
        <v>561</v>
      </c>
      <c r="C47" t="s">
        <v>534</v>
      </c>
      <c r="D47" t="s">
        <v>544</v>
      </c>
      <c r="K47"/>
    </row>
    <row r="48" spans="1:11">
      <c r="A48" t="s">
        <v>3536</v>
      </c>
      <c r="B48" t="s">
        <v>561</v>
      </c>
      <c r="C48" t="s">
        <v>534</v>
      </c>
      <c r="D48" t="s">
        <v>544</v>
      </c>
      <c r="K48"/>
    </row>
    <row r="49" spans="1:11">
      <c r="A49" t="s">
        <v>2773</v>
      </c>
      <c r="B49" t="s">
        <v>561</v>
      </c>
      <c r="C49" t="s">
        <v>534</v>
      </c>
      <c r="D49" t="s">
        <v>544</v>
      </c>
      <c r="K49"/>
    </row>
    <row r="50" spans="1:11">
      <c r="A50" t="s">
        <v>2774</v>
      </c>
      <c r="B50" t="s">
        <v>561</v>
      </c>
      <c r="C50" t="s">
        <v>534</v>
      </c>
      <c r="D50" t="s">
        <v>544</v>
      </c>
      <c r="K50"/>
    </row>
    <row r="51" spans="1:11">
      <c r="A51" t="s">
        <v>2775</v>
      </c>
      <c r="B51" t="s">
        <v>561</v>
      </c>
      <c r="C51" t="s">
        <v>534</v>
      </c>
      <c r="D51" t="s">
        <v>544</v>
      </c>
      <c r="K51"/>
    </row>
    <row r="52" spans="1:11">
      <c r="A52" t="s">
        <v>2776</v>
      </c>
      <c r="B52" t="s">
        <v>561</v>
      </c>
      <c r="C52" t="s">
        <v>534</v>
      </c>
      <c r="D52" t="s">
        <v>544</v>
      </c>
      <c r="K52"/>
    </row>
    <row r="53" spans="1:11">
      <c r="A53" t="s">
        <v>3553</v>
      </c>
      <c r="B53" t="s">
        <v>561</v>
      </c>
      <c r="C53" t="s">
        <v>534</v>
      </c>
      <c r="D53" t="s">
        <v>544</v>
      </c>
      <c r="K53"/>
    </row>
    <row r="54" spans="1:11">
      <c r="A54" t="s">
        <v>2777</v>
      </c>
      <c r="B54" t="s">
        <v>561</v>
      </c>
      <c r="C54" t="s">
        <v>534</v>
      </c>
      <c r="D54" t="s">
        <v>544</v>
      </c>
      <c r="K54"/>
    </row>
    <row r="55" spans="1:11">
      <c r="A55" t="s">
        <v>2778</v>
      </c>
      <c r="B55" t="s">
        <v>561</v>
      </c>
      <c r="C55" t="s">
        <v>534</v>
      </c>
      <c r="D55" t="s">
        <v>544</v>
      </c>
      <c r="K55"/>
    </row>
    <row r="56" spans="1:11">
      <c r="A56" t="s">
        <v>2779</v>
      </c>
      <c r="B56" t="s">
        <v>561</v>
      </c>
      <c r="C56" t="s">
        <v>534</v>
      </c>
      <c r="D56" t="s">
        <v>544</v>
      </c>
      <c r="K56"/>
    </row>
    <row r="57" spans="1:11">
      <c r="A57" t="s">
        <v>2780</v>
      </c>
      <c r="B57" t="s">
        <v>561</v>
      </c>
      <c r="C57" t="s">
        <v>534</v>
      </c>
      <c r="D57" t="s">
        <v>544</v>
      </c>
      <c r="K57"/>
    </row>
    <row r="58" spans="1:11">
      <c r="A58" t="s">
        <v>2781</v>
      </c>
      <c r="B58" t="s">
        <v>561</v>
      </c>
      <c r="C58" t="s">
        <v>534</v>
      </c>
      <c r="D58" t="s">
        <v>544</v>
      </c>
      <c r="K58"/>
    </row>
    <row r="59" spans="1:11">
      <c r="A59" t="s">
        <v>2782</v>
      </c>
      <c r="B59" t="s">
        <v>561</v>
      </c>
      <c r="C59" t="s">
        <v>534</v>
      </c>
      <c r="D59" t="s">
        <v>544</v>
      </c>
      <c r="K59"/>
    </row>
    <row r="60" spans="1:11">
      <c r="A60" t="s">
        <v>2783</v>
      </c>
      <c r="B60" t="s">
        <v>561</v>
      </c>
      <c r="C60" t="s">
        <v>534</v>
      </c>
      <c r="D60" t="s">
        <v>544</v>
      </c>
      <c r="K60"/>
    </row>
    <row r="61" spans="1:11">
      <c r="A61" t="s">
        <v>2784</v>
      </c>
      <c r="B61" t="s">
        <v>561</v>
      </c>
      <c r="C61" t="s">
        <v>534</v>
      </c>
      <c r="D61" t="s">
        <v>544</v>
      </c>
      <c r="K61"/>
    </row>
    <row r="62" spans="1:11">
      <c r="A62" t="s">
        <v>2785</v>
      </c>
      <c r="B62" t="s">
        <v>561</v>
      </c>
      <c r="C62" t="s">
        <v>534</v>
      </c>
      <c r="D62" t="s">
        <v>544</v>
      </c>
      <c r="K62"/>
    </row>
    <row r="63" spans="1:11">
      <c r="A63" t="s">
        <v>2786</v>
      </c>
      <c r="B63" t="s">
        <v>561</v>
      </c>
      <c r="C63" t="s">
        <v>534</v>
      </c>
      <c r="D63" t="s">
        <v>544</v>
      </c>
      <c r="K63"/>
    </row>
    <row r="64" spans="1:11">
      <c r="A64" t="s">
        <v>2787</v>
      </c>
      <c r="B64" t="s">
        <v>561</v>
      </c>
      <c r="C64" t="s">
        <v>534</v>
      </c>
      <c r="D64" t="s">
        <v>544</v>
      </c>
      <c r="K64"/>
    </row>
    <row r="65" spans="1:11">
      <c r="A65" t="s">
        <v>2788</v>
      </c>
      <c r="B65" t="s">
        <v>561</v>
      </c>
      <c r="C65" t="s">
        <v>534</v>
      </c>
      <c r="D65" t="s">
        <v>544</v>
      </c>
      <c r="K65"/>
    </row>
    <row r="66" spans="1:11">
      <c r="A66" t="s">
        <v>2789</v>
      </c>
      <c r="B66" t="s">
        <v>561</v>
      </c>
      <c r="C66" t="s">
        <v>541</v>
      </c>
      <c r="D66" t="s">
        <v>545</v>
      </c>
      <c r="K66"/>
    </row>
    <row r="67" spans="1:11">
      <c r="A67" t="s">
        <v>2790</v>
      </c>
      <c r="B67" t="s">
        <v>561</v>
      </c>
      <c r="C67" t="s">
        <v>541</v>
      </c>
      <c r="D67" t="s">
        <v>543</v>
      </c>
      <c r="K67"/>
    </row>
    <row r="68" spans="1:11">
      <c r="A68" t="s">
        <v>2791</v>
      </c>
      <c r="B68" t="s">
        <v>561</v>
      </c>
      <c r="C68" t="s">
        <v>541</v>
      </c>
      <c r="D68" t="s">
        <v>545</v>
      </c>
      <c r="K68"/>
    </row>
    <row r="69" spans="1:11">
      <c r="A69" t="s">
        <v>2792</v>
      </c>
      <c r="B69" t="s">
        <v>561</v>
      </c>
      <c r="C69" t="s">
        <v>541</v>
      </c>
      <c r="D69" t="s">
        <v>543</v>
      </c>
      <c r="K69"/>
    </row>
    <row r="70" spans="1:11">
      <c r="A70" t="s">
        <v>2793</v>
      </c>
      <c r="B70" t="s">
        <v>561</v>
      </c>
      <c r="C70" t="s">
        <v>541</v>
      </c>
      <c r="D70" t="s">
        <v>543</v>
      </c>
      <c r="K70"/>
    </row>
    <row r="71" spans="1:11">
      <c r="A71" t="s">
        <v>2794</v>
      </c>
      <c r="B71" t="s">
        <v>561</v>
      </c>
      <c r="C71" t="s">
        <v>541</v>
      </c>
      <c r="D71" t="s">
        <v>545</v>
      </c>
      <c r="K71"/>
    </row>
    <row r="72" spans="1:11">
      <c r="A72" t="s">
        <v>2795</v>
      </c>
      <c r="B72" t="s">
        <v>561</v>
      </c>
      <c r="C72" t="s">
        <v>541</v>
      </c>
      <c r="D72" t="s">
        <v>545</v>
      </c>
      <c r="K72"/>
    </row>
    <row r="73" spans="1:11">
      <c r="A73" t="s">
        <v>2796</v>
      </c>
      <c r="B73" t="s">
        <v>561</v>
      </c>
      <c r="C73" t="s">
        <v>541</v>
      </c>
      <c r="D73" t="s">
        <v>545</v>
      </c>
      <c r="K73"/>
    </row>
    <row r="74" spans="1:11">
      <c r="A74" t="s">
        <v>2797</v>
      </c>
      <c r="B74" t="s">
        <v>561</v>
      </c>
      <c r="C74" t="s">
        <v>541</v>
      </c>
      <c r="D74" t="s">
        <v>543</v>
      </c>
      <c r="K74"/>
    </row>
    <row r="75" spans="1:11">
      <c r="A75" t="s">
        <v>2798</v>
      </c>
      <c r="B75" t="s">
        <v>561</v>
      </c>
      <c r="C75" t="s">
        <v>541</v>
      </c>
      <c r="D75" t="s">
        <v>545</v>
      </c>
      <c r="K75"/>
    </row>
    <row r="76" spans="1:11">
      <c r="A76" t="s">
        <v>2799</v>
      </c>
      <c r="B76" t="s">
        <v>561</v>
      </c>
      <c r="C76" t="s">
        <v>541</v>
      </c>
      <c r="D76" t="s">
        <v>545</v>
      </c>
      <c r="K76"/>
    </row>
    <row r="77" spans="1:11">
      <c r="A77" t="s">
        <v>2800</v>
      </c>
      <c r="B77" t="s">
        <v>561</v>
      </c>
      <c r="C77" t="s">
        <v>541</v>
      </c>
      <c r="D77" t="s">
        <v>543</v>
      </c>
      <c r="K77"/>
    </row>
    <row r="78" spans="1:11">
      <c r="A78" t="s">
        <v>3532</v>
      </c>
      <c r="B78" t="s">
        <v>561</v>
      </c>
      <c r="C78" t="s">
        <v>541</v>
      </c>
      <c r="D78" t="s">
        <v>545</v>
      </c>
      <c r="K78"/>
    </row>
    <row r="79" spans="1:11">
      <c r="A79" t="s">
        <v>2801</v>
      </c>
      <c r="B79" t="s">
        <v>561</v>
      </c>
      <c r="C79" t="s">
        <v>541</v>
      </c>
      <c r="D79" t="s">
        <v>545</v>
      </c>
      <c r="K79"/>
    </row>
    <row r="80" spans="1:11">
      <c r="A80" t="s">
        <v>2802</v>
      </c>
      <c r="B80" t="s">
        <v>561</v>
      </c>
      <c r="C80" t="s">
        <v>541</v>
      </c>
      <c r="D80" t="s">
        <v>543</v>
      </c>
      <c r="K80"/>
    </row>
    <row r="81" spans="1:11">
      <c r="A81" t="s">
        <v>2803</v>
      </c>
      <c r="B81" t="s">
        <v>561</v>
      </c>
      <c r="C81" t="s">
        <v>541</v>
      </c>
      <c r="D81" t="s">
        <v>543</v>
      </c>
      <c r="K81"/>
    </row>
    <row r="82" spans="1:11">
      <c r="A82" t="s">
        <v>3555</v>
      </c>
      <c r="B82" t="s">
        <v>561</v>
      </c>
      <c r="C82" t="s">
        <v>541</v>
      </c>
      <c r="D82" t="s">
        <v>545</v>
      </c>
      <c r="K82"/>
    </row>
    <row r="83" spans="1:11">
      <c r="A83" t="s">
        <v>2804</v>
      </c>
      <c r="B83" t="s">
        <v>561</v>
      </c>
      <c r="C83" t="s">
        <v>541</v>
      </c>
      <c r="D83" t="s">
        <v>543</v>
      </c>
      <c r="K83"/>
    </row>
    <row r="84" spans="1:11">
      <c r="A84" t="s">
        <v>2805</v>
      </c>
      <c r="B84" t="s">
        <v>561</v>
      </c>
      <c r="C84" t="s">
        <v>541</v>
      </c>
      <c r="D84" t="s">
        <v>545</v>
      </c>
      <c r="K84"/>
    </row>
    <row r="85" spans="1:11">
      <c r="A85" t="s">
        <v>2806</v>
      </c>
      <c r="B85" t="s">
        <v>561</v>
      </c>
      <c r="C85" t="s">
        <v>541</v>
      </c>
      <c r="D85" t="s">
        <v>545</v>
      </c>
      <c r="K85"/>
    </row>
    <row r="86" spans="1:11">
      <c r="A86" t="s">
        <v>2807</v>
      </c>
      <c r="B86" t="s">
        <v>561</v>
      </c>
      <c r="C86" t="s">
        <v>541</v>
      </c>
      <c r="D86" t="s">
        <v>543</v>
      </c>
      <c r="K86"/>
    </row>
    <row r="87" spans="1:11">
      <c r="A87" t="s">
        <v>2808</v>
      </c>
      <c r="B87" t="s">
        <v>561</v>
      </c>
      <c r="C87" t="s">
        <v>541</v>
      </c>
      <c r="D87" t="s">
        <v>543</v>
      </c>
      <c r="K87"/>
    </row>
    <row r="88" spans="1:11">
      <c r="A88" t="s">
        <v>2809</v>
      </c>
      <c r="B88" t="s">
        <v>561</v>
      </c>
      <c r="C88" t="s">
        <v>541</v>
      </c>
      <c r="D88" t="s">
        <v>543</v>
      </c>
      <c r="K88"/>
    </row>
    <row r="89" spans="1:11">
      <c r="A89" t="s">
        <v>2810</v>
      </c>
      <c r="B89" t="s">
        <v>561</v>
      </c>
      <c r="C89" t="s">
        <v>541</v>
      </c>
      <c r="D89" t="s">
        <v>545</v>
      </c>
      <c r="K89"/>
    </row>
    <row r="90" spans="1:11">
      <c r="A90" t="s">
        <v>2811</v>
      </c>
      <c r="B90" t="s">
        <v>561</v>
      </c>
      <c r="C90" t="s">
        <v>541</v>
      </c>
      <c r="D90" t="s">
        <v>543</v>
      </c>
      <c r="K90"/>
    </row>
    <row r="91" spans="1:11">
      <c r="A91" t="s">
        <v>2812</v>
      </c>
      <c r="B91" t="s">
        <v>561</v>
      </c>
      <c r="C91" t="s">
        <v>541</v>
      </c>
      <c r="D91" t="s">
        <v>543</v>
      </c>
      <c r="K91"/>
    </row>
    <row r="92" spans="1:11">
      <c r="A92" t="s">
        <v>2813</v>
      </c>
      <c r="B92" t="s">
        <v>561</v>
      </c>
      <c r="C92" t="s">
        <v>541</v>
      </c>
      <c r="D92" t="s">
        <v>543</v>
      </c>
      <c r="K92"/>
    </row>
    <row r="93" spans="1:11">
      <c r="A93" t="s">
        <v>2814</v>
      </c>
      <c r="B93" t="s">
        <v>561</v>
      </c>
      <c r="C93" t="s">
        <v>541</v>
      </c>
      <c r="D93" t="s">
        <v>543</v>
      </c>
      <c r="K93"/>
    </row>
    <row r="94" spans="1:11">
      <c r="A94" t="s">
        <v>2815</v>
      </c>
      <c r="B94" t="s">
        <v>561</v>
      </c>
      <c r="C94" t="s">
        <v>541</v>
      </c>
      <c r="D94" t="s">
        <v>543</v>
      </c>
      <c r="K94"/>
    </row>
    <row r="95" spans="1:11">
      <c r="A95" t="s">
        <v>2816</v>
      </c>
      <c r="B95" t="s">
        <v>561</v>
      </c>
      <c r="C95" t="s">
        <v>541</v>
      </c>
      <c r="D95" t="s">
        <v>543</v>
      </c>
      <c r="K95"/>
    </row>
    <row r="96" spans="1:11">
      <c r="A96" t="s">
        <v>2817</v>
      </c>
      <c r="B96" t="s">
        <v>561</v>
      </c>
      <c r="C96" t="s">
        <v>541</v>
      </c>
      <c r="D96" t="s">
        <v>543</v>
      </c>
      <c r="K96"/>
    </row>
    <row r="97" spans="1:11">
      <c r="A97" t="s">
        <v>2818</v>
      </c>
      <c r="B97" t="s">
        <v>561</v>
      </c>
      <c r="C97" t="s">
        <v>541</v>
      </c>
      <c r="D97" t="s">
        <v>543</v>
      </c>
      <c r="K97"/>
    </row>
    <row r="98" spans="1:11">
      <c r="A98" t="s">
        <v>2819</v>
      </c>
      <c r="B98" t="s">
        <v>561</v>
      </c>
      <c r="C98" t="s">
        <v>541</v>
      </c>
      <c r="D98" t="s">
        <v>545</v>
      </c>
      <c r="K98"/>
    </row>
    <row r="99" spans="1:11">
      <c r="A99" t="s">
        <v>2820</v>
      </c>
      <c r="B99" t="s">
        <v>561</v>
      </c>
      <c r="C99" t="s">
        <v>541</v>
      </c>
      <c r="D99" t="s">
        <v>545</v>
      </c>
      <c r="K99"/>
    </row>
    <row r="100" spans="1:11">
      <c r="A100" t="s">
        <v>2821</v>
      </c>
      <c r="B100" t="s">
        <v>561</v>
      </c>
      <c r="C100" t="s">
        <v>541</v>
      </c>
      <c r="D100" t="s">
        <v>543</v>
      </c>
      <c r="K100"/>
    </row>
    <row r="101" spans="1:11">
      <c r="A101" t="s">
        <v>2822</v>
      </c>
      <c r="B101" t="s">
        <v>561</v>
      </c>
      <c r="C101" t="s">
        <v>541</v>
      </c>
      <c r="D101" t="s">
        <v>549</v>
      </c>
      <c r="K101"/>
    </row>
    <row r="102" spans="1:11">
      <c r="A102" t="s">
        <v>2823</v>
      </c>
      <c r="B102" t="s">
        <v>561</v>
      </c>
      <c r="C102" t="s">
        <v>541</v>
      </c>
      <c r="D102" t="s">
        <v>543</v>
      </c>
      <c r="K102"/>
    </row>
    <row r="103" spans="1:11">
      <c r="A103" t="s">
        <v>2824</v>
      </c>
      <c r="B103" t="s">
        <v>561</v>
      </c>
      <c r="C103" t="s">
        <v>541</v>
      </c>
      <c r="D103" t="s">
        <v>543</v>
      </c>
      <c r="K103"/>
    </row>
    <row r="104" spans="1:11">
      <c r="A104" t="s">
        <v>2825</v>
      </c>
      <c r="B104" t="s">
        <v>561</v>
      </c>
      <c r="C104" t="s">
        <v>541</v>
      </c>
      <c r="D104" t="s">
        <v>543</v>
      </c>
      <c r="K104"/>
    </row>
    <row r="105" spans="1:11">
      <c r="A105" t="s">
        <v>2826</v>
      </c>
      <c r="B105" t="s">
        <v>561</v>
      </c>
      <c r="C105" t="s">
        <v>541</v>
      </c>
      <c r="D105" t="s">
        <v>543</v>
      </c>
      <c r="K105"/>
    </row>
    <row r="106" spans="1:11">
      <c r="A106" t="s">
        <v>2827</v>
      </c>
      <c r="B106" t="s">
        <v>561</v>
      </c>
      <c r="C106" t="s">
        <v>541</v>
      </c>
      <c r="D106" t="s">
        <v>543</v>
      </c>
      <c r="K106"/>
    </row>
    <row r="107" spans="1:11">
      <c r="A107" t="s">
        <v>2828</v>
      </c>
      <c r="B107" t="s">
        <v>561</v>
      </c>
      <c r="C107" t="s">
        <v>541</v>
      </c>
      <c r="D107" t="s">
        <v>545</v>
      </c>
      <c r="K107"/>
    </row>
    <row r="108" spans="1:11">
      <c r="A108" t="s">
        <v>2829</v>
      </c>
      <c r="B108" t="s">
        <v>561</v>
      </c>
      <c r="C108" t="s">
        <v>541</v>
      </c>
      <c r="D108" t="s">
        <v>543</v>
      </c>
      <c r="K108"/>
    </row>
    <row r="109" spans="1:11">
      <c r="A109" t="s">
        <v>2830</v>
      </c>
      <c r="B109" t="s">
        <v>561</v>
      </c>
      <c r="C109" t="s">
        <v>541</v>
      </c>
      <c r="D109" t="s">
        <v>543</v>
      </c>
      <c r="K109"/>
    </row>
    <row r="110" spans="1:11">
      <c r="A110" t="s">
        <v>2831</v>
      </c>
      <c r="B110" t="s">
        <v>561</v>
      </c>
      <c r="C110" t="s">
        <v>541</v>
      </c>
      <c r="D110" t="s">
        <v>545</v>
      </c>
      <c r="K110"/>
    </row>
    <row r="111" spans="1:11">
      <c r="A111" t="s">
        <v>2832</v>
      </c>
      <c r="B111" t="s">
        <v>561</v>
      </c>
      <c r="C111" t="s">
        <v>541</v>
      </c>
      <c r="D111" t="s">
        <v>543</v>
      </c>
      <c r="K111"/>
    </row>
    <row r="112" spans="1:11">
      <c r="A112" t="s">
        <v>2833</v>
      </c>
      <c r="B112" t="s">
        <v>561</v>
      </c>
      <c r="C112" t="s">
        <v>541</v>
      </c>
      <c r="D112" t="s">
        <v>545</v>
      </c>
      <c r="K112"/>
    </row>
    <row r="113" spans="1:11">
      <c r="A113" t="s">
        <v>2834</v>
      </c>
      <c r="B113" t="s">
        <v>561</v>
      </c>
      <c r="C113" t="s">
        <v>541</v>
      </c>
      <c r="D113" t="s">
        <v>543</v>
      </c>
      <c r="K113"/>
    </row>
    <row r="114" spans="1:11">
      <c r="A114" t="s">
        <v>2835</v>
      </c>
      <c r="B114" t="s">
        <v>561</v>
      </c>
      <c r="C114" t="s">
        <v>541</v>
      </c>
      <c r="D114" t="s">
        <v>545</v>
      </c>
      <c r="K114"/>
    </row>
    <row r="115" spans="1:11">
      <c r="A115" t="s">
        <v>2836</v>
      </c>
      <c r="B115" t="s">
        <v>561</v>
      </c>
      <c r="C115" t="s">
        <v>541</v>
      </c>
      <c r="D115" t="s">
        <v>543</v>
      </c>
      <c r="K115"/>
    </row>
    <row r="116" spans="1:11">
      <c r="A116" t="s">
        <v>2837</v>
      </c>
      <c r="B116" t="s">
        <v>561</v>
      </c>
      <c r="C116" t="s">
        <v>541</v>
      </c>
      <c r="D116" t="s">
        <v>545</v>
      </c>
      <c r="K116"/>
    </row>
    <row r="117" spans="1:11">
      <c r="A117" t="s">
        <v>2838</v>
      </c>
      <c r="B117" t="s">
        <v>561</v>
      </c>
      <c r="C117" t="s">
        <v>541</v>
      </c>
      <c r="D117" t="s">
        <v>543</v>
      </c>
      <c r="K117"/>
    </row>
    <row r="118" spans="1:11">
      <c r="A118" t="s">
        <v>2839</v>
      </c>
      <c r="B118" t="s">
        <v>561</v>
      </c>
      <c r="C118" t="s">
        <v>541</v>
      </c>
      <c r="D118" t="s">
        <v>543</v>
      </c>
      <c r="K118"/>
    </row>
    <row r="119" spans="1:11">
      <c r="A119" t="s">
        <v>2840</v>
      </c>
      <c r="B119" t="s">
        <v>561</v>
      </c>
      <c r="C119" t="s">
        <v>541</v>
      </c>
      <c r="D119" t="s">
        <v>545</v>
      </c>
      <c r="K119"/>
    </row>
    <row r="120" spans="1:11">
      <c r="A120" t="s">
        <v>2841</v>
      </c>
      <c r="B120" t="s">
        <v>561</v>
      </c>
      <c r="C120" t="s">
        <v>541</v>
      </c>
      <c r="D120" t="s">
        <v>543</v>
      </c>
      <c r="K120"/>
    </row>
    <row r="121" spans="1:11">
      <c r="A121" t="s">
        <v>2842</v>
      </c>
      <c r="B121" t="s">
        <v>561</v>
      </c>
      <c r="C121" t="s">
        <v>541</v>
      </c>
      <c r="D121" t="s">
        <v>543</v>
      </c>
      <c r="K121"/>
    </row>
    <row r="122" spans="1:11">
      <c r="A122" t="s">
        <v>2843</v>
      </c>
      <c r="B122" t="s">
        <v>561</v>
      </c>
      <c r="C122" t="s">
        <v>541</v>
      </c>
      <c r="D122" t="s">
        <v>543</v>
      </c>
      <c r="K122"/>
    </row>
    <row r="123" spans="1:11">
      <c r="A123" t="s">
        <v>2844</v>
      </c>
      <c r="B123" t="s">
        <v>561</v>
      </c>
      <c r="C123" t="s">
        <v>541</v>
      </c>
      <c r="D123" t="s">
        <v>543</v>
      </c>
      <c r="K123"/>
    </row>
    <row r="124" spans="1:11">
      <c r="A124" t="s">
        <v>3537</v>
      </c>
      <c r="B124" t="s">
        <v>561</v>
      </c>
      <c r="C124" t="s">
        <v>541</v>
      </c>
      <c r="D124" t="s">
        <v>543</v>
      </c>
      <c r="K124"/>
    </row>
    <row r="125" spans="1:11">
      <c r="A125" t="s">
        <v>2845</v>
      </c>
      <c r="B125" t="s">
        <v>561</v>
      </c>
      <c r="C125" t="s">
        <v>541</v>
      </c>
      <c r="D125" t="s">
        <v>543</v>
      </c>
      <c r="K125"/>
    </row>
    <row r="126" spans="1:11">
      <c r="A126" t="s">
        <v>2846</v>
      </c>
      <c r="B126" t="s">
        <v>561</v>
      </c>
      <c r="C126" t="s">
        <v>541</v>
      </c>
      <c r="D126" t="s">
        <v>543</v>
      </c>
      <c r="K126"/>
    </row>
    <row r="127" spans="1:11">
      <c r="A127" t="s">
        <v>2847</v>
      </c>
      <c r="B127" t="s">
        <v>561</v>
      </c>
      <c r="C127" t="s">
        <v>541</v>
      </c>
      <c r="D127" t="s">
        <v>545</v>
      </c>
      <c r="K127"/>
    </row>
    <row r="128" spans="1:11">
      <c r="A128" t="s">
        <v>2848</v>
      </c>
      <c r="B128" t="s">
        <v>561</v>
      </c>
      <c r="C128" t="s">
        <v>541</v>
      </c>
      <c r="D128" t="s">
        <v>545</v>
      </c>
      <c r="K128"/>
    </row>
    <row r="129" spans="1:11">
      <c r="A129" t="s">
        <v>2849</v>
      </c>
      <c r="B129" t="s">
        <v>561</v>
      </c>
      <c r="C129" t="s">
        <v>541</v>
      </c>
      <c r="D129" t="s">
        <v>543</v>
      </c>
      <c r="K129"/>
    </row>
    <row r="130" spans="1:11">
      <c r="A130" t="s">
        <v>2850</v>
      </c>
      <c r="B130" t="s">
        <v>561</v>
      </c>
      <c r="C130" t="s">
        <v>541</v>
      </c>
      <c r="D130" t="s">
        <v>545</v>
      </c>
      <c r="K130"/>
    </row>
    <row r="131" spans="1:11">
      <c r="A131" t="s">
        <v>2851</v>
      </c>
      <c r="B131" t="s">
        <v>561</v>
      </c>
      <c r="C131" t="s">
        <v>541</v>
      </c>
      <c r="D131" t="s">
        <v>543</v>
      </c>
      <c r="K131"/>
    </row>
    <row r="132" spans="1:11">
      <c r="A132" t="s">
        <v>2852</v>
      </c>
      <c r="B132" t="s">
        <v>561</v>
      </c>
      <c r="C132" t="s">
        <v>541</v>
      </c>
      <c r="D132" t="s">
        <v>546</v>
      </c>
      <c r="K132"/>
    </row>
    <row r="133" spans="1:11">
      <c r="A133" t="s">
        <v>2853</v>
      </c>
      <c r="B133" t="s">
        <v>561</v>
      </c>
      <c r="C133" t="s">
        <v>541</v>
      </c>
      <c r="D133" t="s">
        <v>543</v>
      </c>
      <c r="K133"/>
    </row>
    <row r="134" spans="1:11">
      <c r="A134" t="s">
        <v>2854</v>
      </c>
      <c r="B134" t="s">
        <v>561</v>
      </c>
      <c r="C134" t="s">
        <v>541</v>
      </c>
      <c r="D134" t="s">
        <v>543</v>
      </c>
      <c r="K134"/>
    </row>
    <row r="135" spans="1:11">
      <c r="A135" t="s">
        <v>2855</v>
      </c>
      <c r="B135" t="s">
        <v>561</v>
      </c>
      <c r="C135" t="s">
        <v>535</v>
      </c>
      <c r="D135" t="s">
        <v>545</v>
      </c>
      <c r="K135"/>
    </row>
    <row r="136" spans="1:11">
      <c r="A136" t="s">
        <v>2856</v>
      </c>
      <c r="B136" t="s">
        <v>561</v>
      </c>
      <c r="C136" t="s">
        <v>541</v>
      </c>
      <c r="D136" t="s">
        <v>543</v>
      </c>
      <c r="K136"/>
    </row>
    <row r="137" spans="1:11">
      <c r="A137" t="s">
        <v>2857</v>
      </c>
      <c r="B137" t="s">
        <v>561</v>
      </c>
      <c r="C137" t="s">
        <v>541</v>
      </c>
      <c r="D137" t="s">
        <v>543</v>
      </c>
      <c r="K137"/>
    </row>
    <row r="138" spans="1:11">
      <c r="A138" t="s">
        <v>2858</v>
      </c>
      <c r="B138" t="s">
        <v>561</v>
      </c>
      <c r="C138" t="s">
        <v>541</v>
      </c>
      <c r="D138" t="s">
        <v>546</v>
      </c>
      <c r="K138"/>
    </row>
    <row r="139" spans="1:11">
      <c r="A139" t="s">
        <v>2859</v>
      </c>
      <c r="B139" t="s">
        <v>561</v>
      </c>
      <c r="C139" t="s">
        <v>541</v>
      </c>
      <c r="D139" t="s">
        <v>543</v>
      </c>
      <c r="K139"/>
    </row>
    <row r="140" spans="1:11">
      <c r="A140" t="s">
        <v>2860</v>
      </c>
      <c r="B140" t="s">
        <v>561</v>
      </c>
      <c r="C140" t="s">
        <v>541</v>
      </c>
      <c r="D140" t="s">
        <v>546</v>
      </c>
      <c r="K140"/>
    </row>
    <row r="141" spans="1:11">
      <c r="A141" t="s">
        <v>2861</v>
      </c>
      <c r="B141" t="s">
        <v>561</v>
      </c>
      <c r="C141" t="s">
        <v>541</v>
      </c>
      <c r="D141" t="s">
        <v>543</v>
      </c>
      <c r="K141"/>
    </row>
    <row r="142" spans="1:11">
      <c r="A142" t="s">
        <v>2862</v>
      </c>
      <c r="B142" t="s">
        <v>561</v>
      </c>
      <c r="C142" t="s">
        <v>541</v>
      </c>
      <c r="D142" t="s">
        <v>543</v>
      </c>
      <c r="K142"/>
    </row>
    <row r="143" spans="1:11">
      <c r="A143" t="s">
        <v>2863</v>
      </c>
      <c r="B143" t="s">
        <v>561</v>
      </c>
      <c r="C143" t="s">
        <v>535</v>
      </c>
      <c r="D143" t="s">
        <v>545</v>
      </c>
      <c r="K143"/>
    </row>
    <row r="144" spans="1:11">
      <c r="A144" t="s">
        <v>2864</v>
      </c>
      <c r="B144" t="s">
        <v>561</v>
      </c>
      <c r="C144" t="s">
        <v>535</v>
      </c>
      <c r="D144" t="s">
        <v>545</v>
      </c>
      <c r="K144"/>
    </row>
    <row r="145" spans="1:11">
      <c r="A145" t="s">
        <v>2865</v>
      </c>
      <c r="B145" t="s">
        <v>561</v>
      </c>
      <c r="C145" t="s">
        <v>541</v>
      </c>
      <c r="D145" t="s">
        <v>543</v>
      </c>
      <c r="K145"/>
    </row>
    <row r="146" spans="1:11">
      <c r="A146" t="s">
        <v>2866</v>
      </c>
      <c r="B146" t="s">
        <v>561</v>
      </c>
      <c r="C146" t="s">
        <v>541</v>
      </c>
      <c r="D146" t="s">
        <v>546</v>
      </c>
      <c r="K146"/>
    </row>
    <row r="147" spans="1:11">
      <c r="A147" t="s">
        <v>2867</v>
      </c>
      <c r="B147" t="s">
        <v>561</v>
      </c>
      <c r="C147" t="s">
        <v>541</v>
      </c>
      <c r="D147" t="s">
        <v>543</v>
      </c>
      <c r="K147"/>
    </row>
    <row r="148" spans="1:11">
      <c r="A148" t="s">
        <v>2868</v>
      </c>
      <c r="B148" t="s">
        <v>561</v>
      </c>
      <c r="C148" t="s">
        <v>541</v>
      </c>
      <c r="D148" t="s">
        <v>543</v>
      </c>
      <c r="K148"/>
    </row>
    <row r="149" spans="1:11">
      <c r="A149" t="s">
        <v>2869</v>
      </c>
      <c r="B149" t="s">
        <v>561</v>
      </c>
      <c r="C149" t="s">
        <v>541</v>
      </c>
      <c r="D149" t="s">
        <v>543</v>
      </c>
      <c r="K149"/>
    </row>
    <row r="150" spans="1:11">
      <c r="A150" t="s">
        <v>2870</v>
      </c>
      <c r="B150" t="s">
        <v>561</v>
      </c>
      <c r="C150" t="s">
        <v>541</v>
      </c>
      <c r="D150" t="s">
        <v>543</v>
      </c>
      <c r="K150"/>
    </row>
    <row r="151" spans="1:11">
      <c r="A151" t="s">
        <v>2871</v>
      </c>
      <c r="B151" t="s">
        <v>561</v>
      </c>
      <c r="C151" t="s">
        <v>541</v>
      </c>
      <c r="D151" t="s">
        <v>543</v>
      </c>
      <c r="K151"/>
    </row>
    <row r="152" spans="1:11">
      <c r="A152" t="s">
        <v>2872</v>
      </c>
      <c r="B152" t="s">
        <v>561</v>
      </c>
      <c r="C152" t="s">
        <v>541</v>
      </c>
      <c r="D152" t="s">
        <v>543</v>
      </c>
      <c r="K152"/>
    </row>
    <row r="153" spans="1:11">
      <c r="A153" t="s">
        <v>2873</v>
      </c>
      <c r="B153" t="s">
        <v>561</v>
      </c>
      <c r="C153" t="s">
        <v>541</v>
      </c>
      <c r="D153" t="s">
        <v>543</v>
      </c>
      <c r="K153"/>
    </row>
    <row r="154" spans="1:11">
      <c r="A154" t="s">
        <v>2874</v>
      </c>
      <c r="B154" t="s">
        <v>561</v>
      </c>
      <c r="C154" t="s">
        <v>541</v>
      </c>
      <c r="D154" t="s">
        <v>543</v>
      </c>
      <c r="K154"/>
    </row>
    <row r="155" spans="1:11">
      <c r="A155" t="s">
        <v>2875</v>
      </c>
      <c r="B155" t="s">
        <v>561</v>
      </c>
      <c r="C155" t="s">
        <v>541</v>
      </c>
      <c r="D155" t="s">
        <v>546</v>
      </c>
      <c r="K155"/>
    </row>
    <row r="156" spans="1:11">
      <c r="A156" t="s">
        <v>3557</v>
      </c>
      <c r="B156" t="s">
        <v>561</v>
      </c>
      <c r="C156" t="s">
        <v>541</v>
      </c>
      <c r="D156" t="s">
        <v>543</v>
      </c>
      <c r="K156"/>
    </row>
    <row r="157" spans="1:11">
      <c r="A157" t="s">
        <v>2876</v>
      </c>
      <c r="B157" t="s">
        <v>561</v>
      </c>
      <c r="C157" t="s">
        <v>541</v>
      </c>
      <c r="D157" t="s">
        <v>543</v>
      </c>
      <c r="K157"/>
    </row>
    <row r="158" spans="1:11">
      <c r="A158" t="s">
        <v>2877</v>
      </c>
      <c r="B158" t="s">
        <v>561</v>
      </c>
      <c r="C158" t="s">
        <v>541</v>
      </c>
      <c r="D158" t="s">
        <v>543</v>
      </c>
      <c r="K158"/>
    </row>
    <row r="159" spans="1:11">
      <c r="A159" t="s">
        <v>2878</v>
      </c>
      <c r="B159" t="s">
        <v>561</v>
      </c>
      <c r="C159" t="s">
        <v>541</v>
      </c>
      <c r="D159" t="s">
        <v>543</v>
      </c>
      <c r="K159"/>
    </row>
    <row r="160" spans="1:11">
      <c r="A160" t="s">
        <v>2879</v>
      </c>
      <c r="B160" t="s">
        <v>561</v>
      </c>
      <c r="C160" t="s">
        <v>541</v>
      </c>
      <c r="D160" t="s">
        <v>546</v>
      </c>
      <c r="K160"/>
    </row>
    <row r="161" spans="1:11">
      <c r="A161" t="s">
        <v>2880</v>
      </c>
      <c r="B161" t="s">
        <v>561</v>
      </c>
      <c r="C161" t="s">
        <v>541</v>
      </c>
      <c r="D161" t="s">
        <v>543</v>
      </c>
      <c r="K161"/>
    </row>
    <row r="162" spans="1:11">
      <c r="A162" t="s">
        <v>2881</v>
      </c>
      <c r="B162" t="s">
        <v>561</v>
      </c>
      <c r="C162" t="s">
        <v>541</v>
      </c>
      <c r="D162" t="s">
        <v>543</v>
      </c>
      <c r="K162"/>
    </row>
    <row r="163" spans="1:11">
      <c r="A163" t="s">
        <v>2882</v>
      </c>
      <c r="B163" t="s">
        <v>561</v>
      </c>
      <c r="C163" t="s">
        <v>541</v>
      </c>
      <c r="D163" t="s">
        <v>543</v>
      </c>
      <c r="K163"/>
    </row>
    <row r="164" spans="1:11">
      <c r="A164" t="s">
        <v>2883</v>
      </c>
      <c r="B164" t="s">
        <v>561</v>
      </c>
      <c r="C164" t="s">
        <v>541</v>
      </c>
      <c r="D164" t="s">
        <v>543</v>
      </c>
      <c r="K164"/>
    </row>
    <row r="165" spans="1:11">
      <c r="A165" t="s">
        <v>2884</v>
      </c>
      <c r="B165" t="s">
        <v>561</v>
      </c>
      <c r="C165" t="s">
        <v>541</v>
      </c>
      <c r="D165" t="s">
        <v>543</v>
      </c>
      <c r="K165"/>
    </row>
    <row r="166" spans="1:11">
      <c r="A166" t="s">
        <v>2885</v>
      </c>
      <c r="B166" t="s">
        <v>561</v>
      </c>
      <c r="C166" t="s">
        <v>541</v>
      </c>
      <c r="D166" t="s">
        <v>543</v>
      </c>
      <c r="K166"/>
    </row>
    <row r="167" spans="1:11">
      <c r="A167" t="s">
        <v>2886</v>
      </c>
      <c r="B167" t="s">
        <v>561</v>
      </c>
      <c r="C167" t="s">
        <v>541</v>
      </c>
      <c r="D167" t="s">
        <v>545</v>
      </c>
      <c r="K167"/>
    </row>
    <row r="168" spans="1:11">
      <c r="A168" t="s">
        <v>2887</v>
      </c>
      <c r="B168" t="s">
        <v>561</v>
      </c>
      <c r="C168" t="s">
        <v>541</v>
      </c>
      <c r="D168" t="s">
        <v>543</v>
      </c>
      <c r="K168"/>
    </row>
    <row r="169" spans="1:11">
      <c r="A169" t="s">
        <v>2888</v>
      </c>
      <c r="B169" t="s">
        <v>561</v>
      </c>
      <c r="C169" t="s">
        <v>541</v>
      </c>
      <c r="D169" t="s">
        <v>543</v>
      </c>
      <c r="K169"/>
    </row>
    <row r="170" spans="1:11">
      <c r="A170" t="s">
        <v>2889</v>
      </c>
      <c r="B170" t="s">
        <v>561</v>
      </c>
      <c r="C170" t="s">
        <v>541</v>
      </c>
      <c r="D170" t="s">
        <v>543</v>
      </c>
      <c r="K170"/>
    </row>
    <row r="171" spans="1:11">
      <c r="A171" t="s">
        <v>2890</v>
      </c>
      <c r="B171" t="s">
        <v>561</v>
      </c>
      <c r="C171" t="s">
        <v>541</v>
      </c>
      <c r="D171" t="s">
        <v>543</v>
      </c>
      <c r="K171"/>
    </row>
    <row r="172" spans="1:11">
      <c r="A172" t="s">
        <v>2891</v>
      </c>
      <c r="B172" t="s">
        <v>561</v>
      </c>
      <c r="C172" t="s">
        <v>534</v>
      </c>
      <c r="D172" t="s">
        <v>543</v>
      </c>
      <c r="K172"/>
    </row>
    <row r="173" spans="1:11">
      <c r="A173" t="s">
        <v>2892</v>
      </c>
      <c r="B173" t="s">
        <v>561</v>
      </c>
      <c r="C173" t="s">
        <v>534</v>
      </c>
      <c r="D173" t="s">
        <v>543</v>
      </c>
      <c r="K173"/>
    </row>
    <row r="174" spans="1:11">
      <c r="A174" t="s">
        <v>2893</v>
      </c>
      <c r="B174" t="s">
        <v>561</v>
      </c>
      <c r="C174" t="s">
        <v>534</v>
      </c>
      <c r="D174" t="s">
        <v>543</v>
      </c>
      <c r="K174"/>
    </row>
    <row r="175" spans="1:11">
      <c r="A175" t="s">
        <v>2894</v>
      </c>
      <c r="B175" t="s">
        <v>561</v>
      </c>
      <c r="C175" t="s">
        <v>541</v>
      </c>
      <c r="D175" t="s">
        <v>544</v>
      </c>
      <c r="K175"/>
    </row>
    <row r="176" spans="1:11">
      <c r="A176" t="s">
        <v>2895</v>
      </c>
      <c r="B176" t="s">
        <v>561</v>
      </c>
      <c r="C176" t="s">
        <v>534</v>
      </c>
      <c r="D176" t="s">
        <v>543</v>
      </c>
      <c r="K176"/>
    </row>
    <row r="177" spans="1:11">
      <c r="A177" t="s">
        <v>2896</v>
      </c>
      <c r="B177" t="s">
        <v>561</v>
      </c>
      <c r="C177" t="s">
        <v>534</v>
      </c>
      <c r="D177" t="s">
        <v>543</v>
      </c>
      <c r="K177"/>
    </row>
    <row r="178" spans="1:11">
      <c r="A178" t="s">
        <v>2897</v>
      </c>
      <c r="B178" t="s">
        <v>561</v>
      </c>
      <c r="C178" t="s">
        <v>534</v>
      </c>
      <c r="D178" t="s">
        <v>543</v>
      </c>
      <c r="K178"/>
    </row>
    <row r="179" spans="1:11">
      <c r="A179" t="s">
        <v>2898</v>
      </c>
      <c r="B179" t="s">
        <v>561</v>
      </c>
      <c r="C179" t="s">
        <v>535</v>
      </c>
      <c r="D179" t="s">
        <v>544</v>
      </c>
      <c r="K179"/>
    </row>
    <row r="180" spans="1:11">
      <c r="A180" t="s">
        <v>2899</v>
      </c>
      <c r="B180" t="s">
        <v>561</v>
      </c>
      <c r="C180" t="s">
        <v>535</v>
      </c>
      <c r="D180" t="s">
        <v>544</v>
      </c>
      <c r="K180"/>
    </row>
    <row r="181" spans="1:11">
      <c r="A181" t="s">
        <v>2900</v>
      </c>
      <c r="B181" t="s">
        <v>561</v>
      </c>
      <c r="C181" t="s">
        <v>534</v>
      </c>
      <c r="D181" t="s">
        <v>543</v>
      </c>
      <c r="K181"/>
    </row>
    <row r="182" spans="1:11">
      <c r="A182" t="s">
        <v>2901</v>
      </c>
      <c r="B182" t="s">
        <v>561</v>
      </c>
      <c r="C182" t="s">
        <v>541</v>
      </c>
      <c r="D182" t="s">
        <v>544</v>
      </c>
      <c r="K182"/>
    </row>
    <row r="183" spans="1:11">
      <c r="A183" t="s">
        <v>2902</v>
      </c>
      <c r="B183" t="s">
        <v>561</v>
      </c>
      <c r="C183" t="s">
        <v>535</v>
      </c>
      <c r="D183" t="s">
        <v>544</v>
      </c>
      <c r="K183"/>
    </row>
    <row r="184" spans="1:11">
      <c r="A184" t="s">
        <v>2903</v>
      </c>
      <c r="B184" t="s">
        <v>561</v>
      </c>
      <c r="C184" t="s">
        <v>534</v>
      </c>
      <c r="D184" t="s">
        <v>543</v>
      </c>
      <c r="K184"/>
    </row>
    <row r="185" spans="1:11">
      <c r="A185" t="s">
        <v>2904</v>
      </c>
      <c r="B185" t="s">
        <v>561</v>
      </c>
      <c r="C185" t="s">
        <v>534</v>
      </c>
      <c r="D185" t="s">
        <v>543</v>
      </c>
      <c r="K185"/>
    </row>
    <row r="186" spans="1:11">
      <c r="A186" t="s">
        <v>2905</v>
      </c>
      <c r="B186" t="s">
        <v>561</v>
      </c>
      <c r="C186" t="s">
        <v>541</v>
      </c>
      <c r="D186" t="s">
        <v>544</v>
      </c>
      <c r="K186"/>
    </row>
    <row r="187" spans="1:11">
      <c r="A187" t="s">
        <v>2906</v>
      </c>
      <c r="B187" t="s">
        <v>561</v>
      </c>
      <c r="C187" t="s">
        <v>534</v>
      </c>
      <c r="D187" t="s">
        <v>543</v>
      </c>
      <c r="K187"/>
    </row>
    <row r="188" spans="1:11">
      <c r="A188" t="s">
        <v>2907</v>
      </c>
      <c r="B188" t="s">
        <v>561</v>
      </c>
      <c r="C188" t="s">
        <v>534</v>
      </c>
      <c r="D188" t="s">
        <v>543</v>
      </c>
      <c r="K188"/>
    </row>
    <row r="189" spans="1:11">
      <c r="A189" t="s">
        <v>2908</v>
      </c>
      <c r="B189" t="s">
        <v>561</v>
      </c>
      <c r="C189" t="s">
        <v>535</v>
      </c>
      <c r="D189" t="s">
        <v>544</v>
      </c>
      <c r="K189"/>
    </row>
    <row r="190" spans="1:11">
      <c r="A190" t="s">
        <v>2909</v>
      </c>
      <c r="B190" t="s">
        <v>561</v>
      </c>
      <c r="C190" t="s">
        <v>534</v>
      </c>
      <c r="D190" t="s">
        <v>543</v>
      </c>
      <c r="K190"/>
    </row>
    <row r="191" spans="1:11">
      <c r="A191" t="s">
        <v>3521</v>
      </c>
      <c r="B191" t="s">
        <v>561</v>
      </c>
      <c r="C191" t="s">
        <v>534</v>
      </c>
      <c r="D191" t="s">
        <v>543</v>
      </c>
      <c r="K191"/>
    </row>
    <row r="192" spans="1:11">
      <c r="A192" t="s">
        <v>3522</v>
      </c>
      <c r="B192" t="s">
        <v>561</v>
      </c>
      <c r="C192" t="s">
        <v>541</v>
      </c>
      <c r="D192" t="s">
        <v>544</v>
      </c>
      <c r="K192"/>
    </row>
    <row r="193" spans="1:11">
      <c r="A193" t="s">
        <v>2910</v>
      </c>
      <c r="B193" t="s">
        <v>561</v>
      </c>
      <c r="C193" t="s">
        <v>534</v>
      </c>
      <c r="D193" t="s">
        <v>543</v>
      </c>
      <c r="K193"/>
    </row>
    <row r="194" spans="1:11">
      <c r="A194" t="s">
        <v>2911</v>
      </c>
      <c r="B194" t="s">
        <v>561</v>
      </c>
      <c r="C194" t="s">
        <v>534</v>
      </c>
      <c r="D194" t="s">
        <v>543</v>
      </c>
      <c r="K194"/>
    </row>
    <row r="195" spans="1:11">
      <c r="A195" t="s">
        <v>2912</v>
      </c>
      <c r="B195" t="s">
        <v>561</v>
      </c>
      <c r="C195" t="s">
        <v>534</v>
      </c>
      <c r="D195" t="s">
        <v>543</v>
      </c>
      <c r="K195"/>
    </row>
    <row r="196" spans="1:11">
      <c r="A196" t="s">
        <v>2913</v>
      </c>
      <c r="B196" t="s">
        <v>561</v>
      </c>
      <c r="C196" t="s">
        <v>534</v>
      </c>
      <c r="D196" t="s">
        <v>543</v>
      </c>
      <c r="K196"/>
    </row>
    <row r="197" spans="1:11">
      <c r="A197" t="s">
        <v>2914</v>
      </c>
      <c r="B197" t="s">
        <v>561</v>
      </c>
      <c r="C197" t="s">
        <v>534</v>
      </c>
      <c r="D197" t="s">
        <v>543</v>
      </c>
      <c r="K197"/>
    </row>
    <row r="198" spans="1:11">
      <c r="A198" t="s">
        <v>2915</v>
      </c>
      <c r="B198" t="s">
        <v>561</v>
      </c>
      <c r="C198" t="s">
        <v>541</v>
      </c>
      <c r="D198" t="s">
        <v>548</v>
      </c>
      <c r="K198"/>
    </row>
    <row r="199" spans="1:11">
      <c r="A199" t="s">
        <v>2916</v>
      </c>
      <c r="B199" t="s">
        <v>561</v>
      </c>
      <c r="C199" t="s">
        <v>534</v>
      </c>
      <c r="D199" t="s">
        <v>543</v>
      </c>
      <c r="K199"/>
    </row>
    <row r="200" spans="1:11">
      <c r="A200" t="s">
        <v>2917</v>
      </c>
      <c r="B200" t="s">
        <v>561</v>
      </c>
      <c r="C200" t="s">
        <v>534</v>
      </c>
      <c r="D200" t="s">
        <v>543</v>
      </c>
      <c r="K200"/>
    </row>
    <row r="201" spans="1:11">
      <c r="A201" t="s">
        <v>2918</v>
      </c>
      <c r="B201" t="s">
        <v>561</v>
      </c>
      <c r="C201" t="s">
        <v>534</v>
      </c>
      <c r="D201" t="s">
        <v>543</v>
      </c>
      <c r="K201"/>
    </row>
    <row r="202" spans="1:11">
      <c r="A202" t="s">
        <v>2919</v>
      </c>
      <c r="B202" t="s">
        <v>561</v>
      </c>
      <c r="C202" t="s">
        <v>534</v>
      </c>
      <c r="D202" t="s">
        <v>543</v>
      </c>
      <c r="K202"/>
    </row>
    <row r="203" spans="1:11">
      <c r="A203" t="s">
        <v>2920</v>
      </c>
      <c r="B203" t="s">
        <v>561</v>
      </c>
      <c r="C203" t="s">
        <v>534</v>
      </c>
      <c r="D203" t="s">
        <v>543</v>
      </c>
      <c r="K203"/>
    </row>
    <row r="204" spans="1:11">
      <c r="A204" t="s">
        <v>2921</v>
      </c>
      <c r="B204" t="s">
        <v>561</v>
      </c>
      <c r="C204" t="s">
        <v>541</v>
      </c>
      <c r="D204" t="s">
        <v>544</v>
      </c>
      <c r="K204"/>
    </row>
    <row r="205" spans="1:11">
      <c r="A205" t="s">
        <v>2922</v>
      </c>
      <c r="B205" t="s">
        <v>561</v>
      </c>
      <c r="C205" t="s">
        <v>534</v>
      </c>
      <c r="D205" t="s">
        <v>543</v>
      </c>
      <c r="K205"/>
    </row>
    <row r="206" spans="1:11">
      <c r="A206" t="s">
        <v>2923</v>
      </c>
      <c r="B206" t="s">
        <v>561</v>
      </c>
      <c r="C206" t="s">
        <v>534</v>
      </c>
      <c r="D206" t="s">
        <v>543</v>
      </c>
      <c r="K206"/>
    </row>
    <row r="207" spans="1:11">
      <c r="A207" t="s">
        <v>2924</v>
      </c>
      <c r="B207" t="s">
        <v>561</v>
      </c>
      <c r="C207" t="s">
        <v>534</v>
      </c>
      <c r="D207" t="s">
        <v>543</v>
      </c>
      <c r="K207"/>
    </row>
    <row r="208" spans="1:11">
      <c r="A208" t="s">
        <v>2925</v>
      </c>
      <c r="B208" t="s">
        <v>561</v>
      </c>
      <c r="C208" t="s">
        <v>534</v>
      </c>
      <c r="D208" t="s">
        <v>543</v>
      </c>
      <c r="K208"/>
    </row>
    <row r="209" spans="1:11">
      <c r="A209" t="s">
        <v>2926</v>
      </c>
      <c r="B209" t="s">
        <v>561</v>
      </c>
      <c r="C209" t="s">
        <v>534</v>
      </c>
      <c r="D209" t="s">
        <v>543</v>
      </c>
      <c r="K209"/>
    </row>
    <row r="210" spans="1:11">
      <c r="A210" t="s">
        <v>2927</v>
      </c>
      <c r="B210" t="s">
        <v>561</v>
      </c>
      <c r="C210" t="s">
        <v>537</v>
      </c>
      <c r="D210" t="s">
        <v>543</v>
      </c>
      <c r="K210"/>
    </row>
    <row r="211" spans="1:11">
      <c r="A211" t="s">
        <v>2928</v>
      </c>
      <c r="B211" t="s">
        <v>561</v>
      </c>
      <c r="C211" t="s">
        <v>534</v>
      </c>
      <c r="D211" t="s">
        <v>543</v>
      </c>
      <c r="K211"/>
    </row>
    <row r="212" spans="1:11">
      <c r="A212" t="s">
        <v>2929</v>
      </c>
      <c r="B212" t="s">
        <v>561</v>
      </c>
      <c r="C212" t="s">
        <v>534</v>
      </c>
      <c r="D212" t="s">
        <v>543</v>
      </c>
      <c r="K212"/>
    </row>
    <row r="213" spans="1:11">
      <c r="A213" t="s">
        <v>2930</v>
      </c>
      <c r="B213" t="s">
        <v>561</v>
      </c>
      <c r="C213" t="s">
        <v>534</v>
      </c>
      <c r="D213" t="s">
        <v>543</v>
      </c>
      <c r="K213"/>
    </row>
    <row r="214" spans="1:11">
      <c r="A214" t="s">
        <v>2931</v>
      </c>
      <c r="B214" t="s">
        <v>561</v>
      </c>
      <c r="C214" t="s">
        <v>534</v>
      </c>
      <c r="D214" t="s">
        <v>543</v>
      </c>
      <c r="K214"/>
    </row>
    <row r="215" spans="1:11">
      <c r="A215" t="s">
        <v>2932</v>
      </c>
      <c r="B215" t="s">
        <v>561</v>
      </c>
      <c r="C215" t="s">
        <v>541</v>
      </c>
      <c r="D215" t="s">
        <v>548</v>
      </c>
      <c r="K215"/>
    </row>
    <row r="216" spans="1:11">
      <c r="A216" t="s">
        <v>2933</v>
      </c>
      <c r="B216" t="s">
        <v>561</v>
      </c>
      <c r="C216" t="s">
        <v>534</v>
      </c>
      <c r="D216" t="s">
        <v>543</v>
      </c>
      <c r="K216"/>
    </row>
    <row r="217" spans="1:11">
      <c r="A217" t="s">
        <v>2934</v>
      </c>
      <c r="B217" t="s">
        <v>561</v>
      </c>
      <c r="C217" t="s">
        <v>541</v>
      </c>
      <c r="D217" t="s">
        <v>548</v>
      </c>
      <c r="K217"/>
    </row>
    <row r="218" spans="1:11">
      <c r="A218" t="s">
        <v>2935</v>
      </c>
      <c r="B218" t="s">
        <v>561</v>
      </c>
      <c r="C218" t="s">
        <v>534</v>
      </c>
      <c r="D218" t="s">
        <v>543</v>
      </c>
      <c r="K218"/>
    </row>
    <row r="219" spans="1:11">
      <c r="A219" t="s">
        <v>2936</v>
      </c>
      <c r="B219" t="s">
        <v>561</v>
      </c>
      <c r="C219" t="s">
        <v>534</v>
      </c>
      <c r="D219" t="s">
        <v>543</v>
      </c>
      <c r="K219"/>
    </row>
    <row r="220" spans="1:11">
      <c r="A220" t="s">
        <v>2937</v>
      </c>
      <c r="B220" t="s">
        <v>561</v>
      </c>
      <c r="C220" t="s">
        <v>534</v>
      </c>
      <c r="D220" t="s">
        <v>543</v>
      </c>
      <c r="K220"/>
    </row>
    <row r="221" spans="1:11">
      <c r="A221" t="s">
        <v>2938</v>
      </c>
      <c r="B221" t="s">
        <v>561</v>
      </c>
      <c r="C221" t="s">
        <v>534</v>
      </c>
      <c r="D221" t="s">
        <v>543</v>
      </c>
      <c r="K221"/>
    </row>
    <row r="222" spans="1:11">
      <c r="A222" t="s">
        <v>2939</v>
      </c>
      <c r="B222" t="s">
        <v>561</v>
      </c>
      <c r="C222" t="s">
        <v>541</v>
      </c>
      <c r="D222" t="s">
        <v>548</v>
      </c>
      <c r="K222"/>
    </row>
    <row r="223" spans="1:11">
      <c r="A223" t="s">
        <v>2940</v>
      </c>
      <c r="B223" t="s">
        <v>561</v>
      </c>
      <c r="C223" t="s">
        <v>534</v>
      </c>
      <c r="D223" t="s">
        <v>543</v>
      </c>
      <c r="K223"/>
    </row>
    <row r="224" spans="1:11">
      <c r="A224" t="s">
        <v>2941</v>
      </c>
      <c r="B224" t="s">
        <v>561</v>
      </c>
      <c r="C224" t="s">
        <v>534</v>
      </c>
      <c r="D224" t="s">
        <v>543</v>
      </c>
      <c r="K224"/>
    </row>
    <row r="225" spans="1:11">
      <c r="A225" t="s">
        <v>3524</v>
      </c>
      <c r="B225" t="s">
        <v>561</v>
      </c>
      <c r="C225" t="s">
        <v>534</v>
      </c>
      <c r="D225" t="s">
        <v>543</v>
      </c>
      <c r="K225"/>
    </row>
    <row r="226" spans="1:11">
      <c r="A226" t="s">
        <v>2942</v>
      </c>
      <c r="B226" t="s">
        <v>561</v>
      </c>
      <c r="C226" t="s">
        <v>534</v>
      </c>
      <c r="D226" t="s">
        <v>543</v>
      </c>
      <c r="K226"/>
    </row>
    <row r="227" spans="1:11">
      <c r="A227" t="s">
        <v>2943</v>
      </c>
      <c r="B227" t="s">
        <v>561</v>
      </c>
      <c r="C227" t="s">
        <v>534</v>
      </c>
      <c r="D227" t="s">
        <v>543</v>
      </c>
      <c r="K227"/>
    </row>
    <row r="228" spans="1:11">
      <c r="A228" t="s">
        <v>2944</v>
      </c>
      <c r="B228" t="s">
        <v>561</v>
      </c>
      <c r="C228" t="s">
        <v>534</v>
      </c>
      <c r="D228" t="s">
        <v>543</v>
      </c>
      <c r="K228"/>
    </row>
    <row r="229" spans="1:11">
      <c r="A229" t="s">
        <v>2945</v>
      </c>
      <c r="B229" t="s">
        <v>561</v>
      </c>
      <c r="C229" t="s">
        <v>534</v>
      </c>
      <c r="D229" t="s">
        <v>543</v>
      </c>
      <c r="K229"/>
    </row>
    <row r="230" spans="1:11">
      <c r="A230" t="s">
        <v>2946</v>
      </c>
      <c r="B230" t="s">
        <v>561</v>
      </c>
      <c r="C230" t="s">
        <v>534</v>
      </c>
      <c r="D230" t="s">
        <v>543</v>
      </c>
      <c r="K230"/>
    </row>
    <row r="231" spans="1:11">
      <c r="A231" t="s">
        <v>2947</v>
      </c>
      <c r="B231" t="s">
        <v>561</v>
      </c>
      <c r="C231" t="s">
        <v>534</v>
      </c>
      <c r="D231" t="s">
        <v>543</v>
      </c>
      <c r="K231"/>
    </row>
    <row r="232" spans="1:11">
      <c r="A232" t="s">
        <v>2948</v>
      </c>
      <c r="B232" t="s">
        <v>561</v>
      </c>
      <c r="C232" t="s">
        <v>541</v>
      </c>
      <c r="D232" t="s">
        <v>547</v>
      </c>
      <c r="K232"/>
    </row>
    <row r="233" spans="1:11">
      <c r="A233" t="s">
        <v>2949</v>
      </c>
      <c r="B233" t="s">
        <v>561</v>
      </c>
      <c r="C233" t="s">
        <v>534</v>
      </c>
      <c r="D233" t="s">
        <v>543</v>
      </c>
      <c r="K233"/>
    </row>
    <row r="234" spans="1:11">
      <c r="A234" t="s">
        <v>2950</v>
      </c>
      <c r="B234" t="s">
        <v>561</v>
      </c>
      <c r="C234" t="s">
        <v>534</v>
      </c>
      <c r="D234" t="s">
        <v>543</v>
      </c>
      <c r="K234"/>
    </row>
    <row r="235" spans="1:11">
      <c r="A235" t="s">
        <v>2951</v>
      </c>
      <c r="B235" t="s">
        <v>561</v>
      </c>
      <c r="C235" t="s">
        <v>541</v>
      </c>
      <c r="D235" t="s">
        <v>544</v>
      </c>
      <c r="K235"/>
    </row>
    <row r="236" spans="1:11">
      <c r="A236" t="s">
        <v>2952</v>
      </c>
      <c r="B236" t="s">
        <v>561</v>
      </c>
      <c r="C236" t="s">
        <v>541</v>
      </c>
      <c r="D236" t="s">
        <v>547</v>
      </c>
      <c r="K236"/>
    </row>
    <row r="237" spans="1:11">
      <c r="A237" t="s">
        <v>2953</v>
      </c>
      <c r="B237" t="s">
        <v>561</v>
      </c>
      <c r="C237" t="s">
        <v>541</v>
      </c>
      <c r="D237" t="s">
        <v>544</v>
      </c>
      <c r="K237"/>
    </row>
    <row r="238" spans="1:11">
      <c r="A238" t="s">
        <v>2954</v>
      </c>
      <c r="B238" t="s">
        <v>561</v>
      </c>
      <c r="C238" t="s">
        <v>534</v>
      </c>
      <c r="D238" t="s">
        <v>543</v>
      </c>
      <c r="K238"/>
    </row>
    <row r="239" spans="1:11">
      <c r="A239" t="s">
        <v>2955</v>
      </c>
      <c r="B239" t="s">
        <v>561</v>
      </c>
      <c r="C239" t="s">
        <v>534</v>
      </c>
      <c r="D239" t="s">
        <v>543</v>
      </c>
      <c r="K239"/>
    </row>
    <row r="240" spans="1:11">
      <c r="A240" t="s">
        <v>2956</v>
      </c>
      <c r="B240" t="s">
        <v>561</v>
      </c>
      <c r="C240" t="s">
        <v>541</v>
      </c>
      <c r="D240" t="s">
        <v>544</v>
      </c>
      <c r="K240"/>
    </row>
    <row r="241" spans="1:11">
      <c r="A241" t="s">
        <v>2957</v>
      </c>
      <c r="B241" t="s">
        <v>561</v>
      </c>
      <c r="C241" t="s">
        <v>541</v>
      </c>
      <c r="D241" t="s">
        <v>544</v>
      </c>
      <c r="K241"/>
    </row>
    <row r="242" spans="1:11">
      <c r="A242" t="s">
        <v>2958</v>
      </c>
      <c r="B242" t="s">
        <v>561</v>
      </c>
      <c r="C242" t="s">
        <v>534</v>
      </c>
      <c r="D242" t="s">
        <v>543</v>
      </c>
      <c r="K242"/>
    </row>
    <row r="243" spans="1:11">
      <c r="A243" t="s">
        <v>2959</v>
      </c>
      <c r="B243" t="s">
        <v>561</v>
      </c>
      <c r="C243" t="s">
        <v>534</v>
      </c>
      <c r="D243" t="s">
        <v>543</v>
      </c>
      <c r="K243"/>
    </row>
    <row r="244" spans="1:11">
      <c r="A244" t="s">
        <v>2960</v>
      </c>
      <c r="B244" t="s">
        <v>561</v>
      </c>
      <c r="C244" t="s">
        <v>534</v>
      </c>
      <c r="D244" t="s">
        <v>543</v>
      </c>
      <c r="K244"/>
    </row>
    <row r="245" spans="1:11">
      <c r="A245" t="s">
        <v>2961</v>
      </c>
      <c r="B245" t="s">
        <v>561</v>
      </c>
      <c r="C245" t="s">
        <v>534</v>
      </c>
      <c r="D245" t="s">
        <v>543</v>
      </c>
      <c r="K245"/>
    </row>
    <row r="246" spans="1:11">
      <c r="A246" t="s">
        <v>2962</v>
      </c>
      <c r="B246" t="s">
        <v>561</v>
      </c>
      <c r="C246" t="s">
        <v>534</v>
      </c>
      <c r="D246" t="s">
        <v>543</v>
      </c>
      <c r="K246"/>
    </row>
    <row r="247" spans="1:11">
      <c r="A247" t="s">
        <v>2963</v>
      </c>
      <c r="B247" t="s">
        <v>561</v>
      </c>
      <c r="C247" t="s">
        <v>534</v>
      </c>
      <c r="D247" t="s">
        <v>543</v>
      </c>
      <c r="K247"/>
    </row>
    <row r="248" spans="1:11">
      <c r="A248" t="s">
        <v>2964</v>
      </c>
      <c r="B248" t="s">
        <v>561</v>
      </c>
      <c r="C248" t="s">
        <v>534</v>
      </c>
      <c r="D248" t="s">
        <v>543</v>
      </c>
      <c r="K248"/>
    </row>
    <row r="249" spans="1:11">
      <c r="A249" t="s">
        <v>2965</v>
      </c>
      <c r="B249" t="s">
        <v>561</v>
      </c>
      <c r="C249" t="s">
        <v>534</v>
      </c>
      <c r="D249" t="s">
        <v>543</v>
      </c>
      <c r="K249"/>
    </row>
    <row r="250" spans="1:11">
      <c r="A250" t="s">
        <v>2966</v>
      </c>
      <c r="B250" t="s">
        <v>561</v>
      </c>
      <c r="C250" t="s">
        <v>534</v>
      </c>
      <c r="D250" t="s">
        <v>543</v>
      </c>
      <c r="K250"/>
    </row>
    <row r="251" spans="1:11">
      <c r="A251" t="s">
        <v>2967</v>
      </c>
      <c r="B251" t="s">
        <v>561</v>
      </c>
      <c r="C251" t="s">
        <v>534</v>
      </c>
      <c r="D251" t="s">
        <v>543</v>
      </c>
      <c r="K251"/>
    </row>
    <row r="252" spans="1:11">
      <c r="A252" t="s">
        <v>2968</v>
      </c>
      <c r="B252" t="s">
        <v>561</v>
      </c>
      <c r="C252" t="s">
        <v>534</v>
      </c>
      <c r="D252" t="s">
        <v>543</v>
      </c>
      <c r="K252"/>
    </row>
    <row r="253" spans="1:11">
      <c r="A253" t="s">
        <v>2969</v>
      </c>
      <c r="B253" t="s">
        <v>561</v>
      </c>
      <c r="C253" t="s">
        <v>534</v>
      </c>
      <c r="D253" t="s">
        <v>543</v>
      </c>
      <c r="K253"/>
    </row>
    <row r="254" spans="1:11">
      <c r="A254" t="s">
        <v>2970</v>
      </c>
      <c r="B254" t="s">
        <v>561</v>
      </c>
      <c r="C254" t="s">
        <v>534</v>
      </c>
      <c r="D254" t="s">
        <v>543</v>
      </c>
      <c r="K254"/>
    </row>
    <row r="255" spans="1:11">
      <c r="A255" t="s">
        <v>2971</v>
      </c>
      <c r="B255" t="s">
        <v>561</v>
      </c>
      <c r="C255" t="s">
        <v>534</v>
      </c>
      <c r="D255" t="s">
        <v>543</v>
      </c>
      <c r="K255"/>
    </row>
    <row r="256" spans="1:11">
      <c r="A256" t="s">
        <v>2972</v>
      </c>
      <c r="B256" t="s">
        <v>561</v>
      </c>
      <c r="C256" t="s">
        <v>534</v>
      </c>
      <c r="D256" t="s">
        <v>543</v>
      </c>
      <c r="K256"/>
    </row>
    <row r="257" spans="1:11">
      <c r="A257" t="s">
        <v>3533</v>
      </c>
      <c r="B257" t="s">
        <v>561</v>
      </c>
      <c r="C257" t="s">
        <v>534</v>
      </c>
      <c r="D257" t="s">
        <v>543</v>
      </c>
      <c r="K257"/>
    </row>
    <row r="258" spans="1:11">
      <c r="A258" t="s">
        <v>2973</v>
      </c>
      <c r="B258" t="s">
        <v>561</v>
      </c>
      <c r="C258" t="s">
        <v>534</v>
      </c>
      <c r="D258" t="s">
        <v>543</v>
      </c>
      <c r="K258"/>
    </row>
    <row r="259" spans="1:11">
      <c r="A259" t="s">
        <v>2974</v>
      </c>
      <c r="B259" t="s">
        <v>561</v>
      </c>
      <c r="C259" t="s">
        <v>534</v>
      </c>
      <c r="D259" t="s">
        <v>543</v>
      </c>
      <c r="K259"/>
    </row>
    <row r="260" spans="1:11">
      <c r="A260" t="s">
        <v>2975</v>
      </c>
      <c r="B260" t="s">
        <v>561</v>
      </c>
      <c r="C260" t="s">
        <v>534</v>
      </c>
      <c r="D260" t="s">
        <v>543</v>
      </c>
      <c r="K260"/>
    </row>
    <row r="261" spans="1:11">
      <c r="A261" t="s">
        <v>2976</v>
      </c>
      <c r="B261" t="s">
        <v>561</v>
      </c>
      <c r="C261" t="s">
        <v>534</v>
      </c>
      <c r="D261" t="s">
        <v>543</v>
      </c>
      <c r="K261"/>
    </row>
    <row r="262" spans="1:11">
      <c r="A262" t="s">
        <v>2977</v>
      </c>
      <c r="B262" t="s">
        <v>561</v>
      </c>
      <c r="C262" t="s">
        <v>534</v>
      </c>
      <c r="D262" t="s">
        <v>543</v>
      </c>
      <c r="K262"/>
    </row>
    <row r="263" spans="1:11">
      <c r="A263" t="s">
        <v>2978</v>
      </c>
      <c r="B263" t="s">
        <v>561</v>
      </c>
      <c r="C263" t="s">
        <v>534</v>
      </c>
      <c r="D263" t="s">
        <v>543</v>
      </c>
      <c r="K263"/>
    </row>
    <row r="264" spans="1:11">
      <c r="A264" t="s">
        <v>2979</v>
      </c>
      <c r="B264" t="s">
        <v>561</v>
      </c>
      <c r="C264" t="s">
        <v>534</v>
      </c>
      <c r="D264" t="s">
        <v>543</v>
      </c>
      <c r="K264"/>
    </row>
    <row r="265" spans="1:11">
      <c r="A265" t="s">
        <v>2980</v>
      </c>
      <c r="B265" t="s">
        <v>561</v>
      </c>
      <c r="C265" t="s">
        <v>534</v>
      </c>
      <c r="D265" t="s">
        <v>543</v>
      </c>
      <c r="K265"/>
    </row>
    <row r="266" spans="1:11">
      <c r="A266" t="s">
        <v>3552</v>
      </c>
      <c r="B266" t="s">
        <v>561</v>
      </c>
      <c r="C266" t="s">
        <v>534</v>
      </c>
      <c r="D266" t="s">
        <v>543</v>
      </c>
      <c r="K266"/>
    </row>
    <row r="267" spans="1:11">
      <c r="A267" t="s">
        <v>2981</v>
      </c>
      <c r="B267" t="s">
        <v>561</v>
      </c>
      <c r="C267" t="s">
        <v>534</v>
      </c>
      <c r="D267" t="s">
        <v>543</v>
      </c>
      <c r="K267"/>
    </row>
    <row r="268" spans="1:11">
      <c r="A268" t="s">
        <v>2982</v>
      </c>
      <c r="B268" t="s">
        <v>561</v>
      </c>
      <c r="C268" t="s">
        <v>541</v>
      </c>
      <c r="D268" t="s">
        <v>545</v>
      </c>
      <c r="K268"/>
    </row>
    <row r="269" spans="1:11">
      <c r="A269" t="s">
        <v>2983</v>
      </c>
      <c r="B269" t="s">
        <v>561</v>
      </c>
      <c r="C269" t="s">
        <v>534</v>
      </c>
      <c r="D269" t="s">
        <v>543</v>
      </c>
      <c r="K269"/>
    </row>
    <row r="270" spans="1:11">
      <c r="A270" t="s">
        <v>2984</v>
      </c>
      <c r="B270" t="s">
        <v>561</v>
      </c>
      <c r="C270" t="s">
        <v>534</v>
      </c>
      <c r="D270" t="s">
        <v>543</v>
      </c>
      <c r="K270"/>
    </row>
    <row r="271" spans="1:11">
      <c r="A271" t="s">
        <v>2985</v>
      </c>
      <c r="B271" t="s">
        <v>561</v>
      </c>
      <c r="C271" t="s">
        <v>534</v>
      </c>
      <c r="D271" t="s">
        <v>543</v>
      </c>
      <c r="K271"/>
    </row>
    <row r="272" spans="1:11">
      <c r="A272" t="s">
        <v>2986</v>
      </c>
      <c r="B272" t="s">
        <v>561</v>
      </c>
      <c r="C272" t="s">
        <v>534</v>
      </c>
      <c r="D272" t="s">
        <v>543</v>
      </c>
      <c r="K272"/>
    </row>
    <row r="273" spans="1:11">
      <c r="A273" t="s">
        <v>2987</v>
      </c>
      <c r="B273" t="s">
        <v>561</v>
      </c>
      <c r="C273" t="s">
        <v>534</v>
      </c>
      <c r="D273" t="s">
        <v>543</v>
      </c>
      <c r="K273"/>
    </row>
    <row r="274" spans="1:11">
      <c r="A274" t="s">
        <v>2988</v>
      </c>
      <c r="B274" t="s">
        <v>561</v>
      </c>
      <c r="C274" t="s">
        <v>534</v>
      </c>
      <c r="D274" t="s">
        <v>543</v>
      </c>
      <c r="K274"/>
    </row>
    <row r="275" spans="1:11">
      <c r="A275" t="s">
        <v>2989</v>
      </c>
      <c r="B275" t="s">
        <v>561</v>
      </c>
      <c r="C275" t="s">
        <v>534</v>
      </c>
      <c r="D275" t="s">
        <v>543</v>
      </c>
      <c r="K275"/>
    </row>
    <row r="276" spans="1:11">
      <c r="A276" t="s">
        <v>2990</v>
      </c>
      <c r="B276" t="s">
        <v>561</v>
      </c>
      <c r="C276" t="s">
        <v>534</v>
      </c>
      <c r="D276" t="s">
        <v>543</v>
      </c>
      <c r="K276"/>
    </row>
    <row r="277" spans="1:11">
      <c r="A277" t="s">
        <v>2991</v>
      </c>
      <c r="B277" t="s">
        <v>561</v>
      </c>
      <c r="C277" t="s">
        <v>534</v>
      </c>
      <c r="D277" t="s">
        <v>543</v>
      </c>
      <c r="K277"/>
    </row>
    <row r="278" spans="1:11">
      <c r="A278" t="s">
        <v>2992</v>
      </c>
      <c r="B278" t="s">
        <v>561</v>
      </c>
      <c r="C278" t="s">
        <v>534</v>
      </c>
      <c r="D278" t="s">
        <v>543</v>
      </c>
      <c r="K278"/>
    </row>
    <row r="279" spans="1:11">
      <c r="A279" t="s">
        <v>2993</v>
      </c>
      <c r="B279" t="s">
        <v>561</v>
      </c>
      <c r="C279" t="s">
        <v>534</v>
      </c>
      <c r="D279" t="s">
        <v>543</v>
      </c>
      <c r="K279"/>
    </row>
    <row r="280" spans="1:11">
      <c r="A280" t="s">
        <v>2994</v>
      </c>
      <c r="B280" t="s">
        <v>561</v>
      </c>
      <c r="C280" t="s">
        <v>534</v>
      </c>
      <c r="D280" t="s">
        <v>543</v>
      </c>
      <c r="K280"/>
    </row>
    <row r="281" spans="1:11">
      <c r="A281" t="s">
        <v>2995</v>
      </c>
      <c r="B281" t="s">
        <v>561</v>
      </c>
      <c r="C281" t="s">
        <v>534</v>
      </c>
      <c r="D281" t="s">
        <v>543</v>
      </c>
      <c r="K281"/>
    </row>
    <row r="282" spans="1:11">
      <c r="A282" t="s">
        <v>2996</v>
      </c>
      <c r="B282" t="s">
        <v>561</v>
      </c>
      <c r="C282" t="s">
        <v>534</v>
      </c>
      <c r="D282" t="s">
        <v>543</v>
      </c>
      <c r="K282"/>
    </row>
    <row r="283" spans="1:11">
      <c r="A283" t="s">
        <v>2997</v>
      </c>
      <c r="B283" t="s">
        <v>561</v>
      </c>
      <c r="C283" t="s">
        <v>535</v>
      </c>
      <c r="D283" t="s">
        <v>543</v>
      </c>
      <c r="K283"/>
    </row>
    <row r="284" spans="1:11">
      <c r="A284" t="s">
        <v>2998</v>
      </c>
      <c r="B284" t="s">
        <v>561</v>
      </c>
      <c r="C284" t="s">
        <v>534</v>
      </c>
      <c r="D284" t="s">
        <v>543</v>
      </c>
      <c r="K284"/>
    </row>
    <row r="285" spans="1:11">
      <c r="A285" t="s">
        <v>2999</v>
      </c>
      <c r="B285" t="s">
        <v>561</v>
      </c>
      <c r="C285" t="s">
        <v>536</v>
      </c>
      <c r="D285" t="s">
        <v>543</v>
      </c>
      <c r="K285"/>
    </row>
    <row r="286" spans="1:11">
      <c r="A286" t="s">
        <v>3000</v>
      </c>
      <c r="B286" t="s">
        <v>561</v>
      </c>
      <c r="C286" t="s">
        <v>535</v>
      </c>
      <c r="D286" t="s">
        <v>543</v>
      </c>
      <c r="K286"/>
    </row>
    <row r="287" spans="1:11">
      <c r="A287" t="s">
        <v>3001</v>
      </c>
      <c r="B287" t="s">
        <v>561</v>
      </c>
      <c r="C287" t="s">
        <v>534</v>
      </c>
      <c r="D287" t="s">
        <v>543</v>
      </c>
      <c r="K287"/>
    </row>
    <row r="288" spans="1:11">
      <c r="A288" t="s">
        <v>3002</v>
      </c>
      <c r="B288" t="s">
        <v>561</v>
      </c>
      <c r="C288" t="s">
        <v>534</v>
      </c>
      <c r="D288" t="s">
        <v>543</v>
      </c>
      <c r="K288"/>
    </row>
    <row r="289" spans="1:11">
      <c r="A289" t="s">
        <v>3003</v>
      </c>
      <c r="B289" t="s">
        <v>561</v>
      </c>
      <c r="C289" t="s">
        <v>534</v>
      </c>
      <c r="D289" t="s">
        <v>543</v>
      </c>
      <c r="K289"/>
    </row>
    <row r="290" spans="1:11">
      <c r="A290" t="s">
        <v>3004</v>
      </c>
      <c r="B290" t="s">
        <v>561</v>
      </c>
      <c r="C290" t="s">
        <v>534</v>
      </c>
      <c r="D290" t="s">
        <v>543</v>
      </c>
      <c r="K290"/>
    </row>
    <row r="291" spans="1:11">
      <c r="A291" t="s">
        <v>3005</v>
      </c>
      <c r="B291" t="s">
        <v>561</v>
      </c>
      <c r="C291" t="s">
        <v>534</v>
      </c>
      <c r="D291" t="s">
        <v>543</v>
      </c>
      <c r="K291"/>
    </row>
    <row r="292" spans="1:11">
      <c r="A292" t="s">
        <v>3006</v>
      </c>
      <c r="B292" t="s">
        <v>561</v>
      </c>
      <c r="C292" t="s">
        <v>534</v>
      </c>
      <c r="D292" t="s">
        <v>543</v>
      </c>
      <c r="K292"/>
    </row>
    <row r="293" spans="1:11">
      <c r="A293" t="s">
        <v>3007</v>
      </c>
      <c r="B293" t="s">
        <v>561</v>
      </c>
      <c r="C293" t="s">
        <v>534</v>
      </c>
      <c r="D293" t="s">
        <v>543</v>
      </c>
      <c r="K293"/>
    </row>
    <row r="294" spans="1:11">
      <c r="A294" t="s">
        <v>3008</v>
      </c>
      <c r="B294" t="s">
        <v>561</v>
      </c>
      <c r="C294" t="s">
        <v>534</v>
      </c>
      <c r="D294" t="s">
        <v>543</v>
      </c>
      <c r="K294"/>
    </row>
    <row r="295" spans="1:11">
      <c r="A295" t="s">
        <v>3009</v>
      </c>
      <c r="B295" t="s">
        <v>561</v>
      </c>
      <c r="C295" t="s">
        <v>534</v>
      </c>
      <c r="D295" t="s">
        <v>543</v>
      </c>
      <c r="K295"/>
    </row>
    <row r="296" spans="1:11">
      <c r="A296" t="s">
        <v>3010</v>
      </c>
      <c r="B296" t="s">
        <v>561</v>
      </c>
      <c r="C296" t="s">
        <v>535</v>
      </c>
      <c r="D296" t="s">
        <v>544</v>
      </c>
      <c r="K296"/>
    </row>
    <row r="297" spans="1:11">
      <c r="A297" t="s">
        <v>3011</v>
      </c>
      <c r="B297" t="s">
        <v>561</v>
      </c>
      <c r="C297" t="s">
        <v>534</v>
      </c>
      <c r="D297" t="s">
        <v>543</v>
      </c>
      <c r="K297"/>
    </row>
    <row r="298" spans="1:11">
      <c r="A298" t="s">
        <v>3012</v>
      </c>
      <c r="B298" t="s">
        <v>561</v>
      </c>
      <c r="C298" t="s">
        <v>534</v>
      </c>
      <c r="D298" t="s">
        <v>543</v>
      </c>
      <c r="K298"/>
    </row>
    <row r="299" spans="1:11">
      <c r="A299" t="s">
        <v>3013</v>
      </c>
      <c r="B299" t="s">
        <v>561</v>
      </c>
      <c r="C299" t="s">
        <v>534</v>
      </c>
      <c r="D299" t="s">
        <v>543</v>
      </c>
      <c r="K299"/>
    </row>
    <row r="300" spans="1:11">
      <c r="A300" t="s">
        <v>3014</v>
      </c>
      <c r="B300" t="s">
        <v>561</v>
      </c>
      <c r="C300" t="s">
        <v>534</v>
      </c>
      <c r="D300" t="s">
        <v>543</v>
      </c>
      <c r="K300"/>
    </row>
    <row r="301" spans="1:11">
      <c r="A301" t="s">
        <v>3015</v>
      </c>
      <c r="B301" t="s">
        <v>561</v>
      </c>
      <c r="C301" t="s">
        <v>538</v>
      </c>
      <c r="D301" t="s">
        <v>545</v>
      </c>
      <c r="K301"/>
    </row>
    <row r="302" spans="1:11">
      <c r="A302" t="s">
        <v>3016</v>
      </c>
      <c r="B302" t="s">
        <v>561</v>
      </c>
      <c r="C302" t="s">
        <v>538</v>
      </c>
      <c r="D302" t="s">
        <v>545</v>
      </c>
      <c r="K302"/>
    </row>
    <row r="303" spans="1:11">
      <c r="A303" t="s">
        <v>3017</v>
      </c>
      <c r="B303" t="s">
        <v>561</v>
      </c>
      <c r="C303" t="s">
        <v>538</v>
      </c>
      <c r="D303" t="s">
        <v>545</v>
      </c>
      <c r="K303"/>
    </row>
    <row r="304" spans="1:11">
      <c r="A304" t="s">
        <v>3018</v>
      </c>
      <c r="B304" t="s">
        <v>561</v>
      </c>
      <c r="C304" t="s">
        <v>538</v>
      </c>
      <c r="D304" t="s">
        <v>545</v>
      </c>
      <c r="K304"/>
    </row>
    <row r="305" spans="1:11">
      <c r="A305" t="s">
        <v>3019</v>
      </c>
      <c r="B305" t="s">
        <v>561</v>
      </c>
      <c r="C305" t="s">
        <v>538</v>
      </c>
      <c r="D305" t="s">
        <v>545</v>
      </c>
      <c r="K305"/>
    </row>
    <row r="306" spans="1:11">
      <c r="A306" t="s">
        <v>3020</v>
      </c>
      <c r="B306" t="s">
        <v>561</v>
      </c>
      <c r="C306" t="s">
        <v>538</v>
      </c>
      <c r="D306" t="s">
        <v>545</v>
      </c>
      <c r="K306"/>
    </row>
    <row r="307" spans="1:11">
      <c r="A307" t="s">
        <v>3021</v>
      </c>
      <c r="B307" t="s">
        <v>561</v>
      </c>
      <c r="C307" t="s">
        <v>538</v>
      </c>
      <c r="D307" t="s">
        <v>545</v>
      </c>
      <c r="K307"/>
    </row>
    <row r="308" spans="1:11">
      <c r="A308" t="s">
        <v>3022</v>
      </c>
      <c r="B308" t="s">
        <v>561</v>
      </c>
      <c r="C308" t="s">
        <v>538</v>
      </c>
      <c r="D308" t="s">
        <v>545</v>
      </c>
      <c r="K308"/>
    </row>
    <row r="309" spans="1:11">
      <c r="A309" t="s">
        <v>3023</v>
      </c>
      <c r="B309" t="s">
        <v>561</v>
      </c>
      <c r="C309" t="s">
        <v>538</v>
      </c>
      <c r="D309" t="s">
        <v>545</v>
      </c>
      <c r="K309"/>
    </row>
    <row r="310" spans="1:11">
      <c r="A310" t="s">
        <v>3024</v>
      </c>
      <c r="B310" t="s">
        <v>561</v>
      </c>
      <c r="C310" t="s">
        <v>538</v>
      </c>
      <c r="D310" t="s">
        <v>545</v>
      </c>
      <c r="K310"/>
    </row>
    <row r="311" spans="1:11">
      <c r="A311" t="s">
        <v>3025</v>
      </c>
      <c r="B311" t="s">
        <v>561</v>
      </c>
      <c r="C311" t="s">
        <v>538</v>
      </c>
      <c r="D311" t="s">
        <v>545</v>
      </c>
      <c r="K311"/>
    </row>
    <row r="312" spans="1:11">
      <c r="A312" t="s">
        <v>3026</v>
      </c>
      <c r="B312" t="s">
        <v>561</v>
      </c>
      <c r="C312" t="s">
        <v>538</v>
      </c>
      <c r="D312" t="s">
        <v>545</v>
      </c>
      <c r="K312"/>
    </row>
    <row r="313" spans="1:11">
      <c r="A313" t="s">
        <v>3027</v>
      </c>
      <c r="B313" t="s">
        <v>561</v>
      </c>
      <c r="C313" t="s">
        <v>538</v>
      </c>
      <c r="D313" t="s">
        <v>545</v>
      </c>
      <c r="K313"/>
    </row>
    <row r="314" spans="1:11">
      <c r="A314" t="s">
        <v>3028</v>
      </c>
      <c r="B314" t="s">
        <v>561</v>
      </c>
      <c r="C314" t="s">
        <v>538</v>
      </c>
      <c r="D314" t="s">
        <v>545</v>
      </c>
      <c r="K314"/>
    </row>
    <row r="315" spans="1:11">
      <c r="A315" t="s">
        <v>3029</v>
      </c>
      <c r="B315" t="s">
        <v>561</v>
      </c>
      <c r="C315" t="s">
        <v>538</v>
      </c>
      <c r="D315" t="s">
        <v>545</v>
      </c>
      <c r="K315"/>
    </row>
    <row r="316" spans="1:11">
      <c r="A316" t="s">
        <v>3030</v>
      </c>
      <c r="B316" t="s">
        <v>561</v>
      </c>
      <c r="C316" t="s">
        <v>538</v>
      </c>
      <c r="D316" t="s">
        <v>545</v>
      </c>
      <c r="K316"/>
    </row>
    <row r="317" spans="1:11">
      <c r="A317" t="s">
        <v>3031</v>
      </c>
      <c r="B317" t="s">
        <v>561</v>
      </c>
      <c r="C317" t="s">
        <v>538</v>
      </c>
      <c r="D317" t="s">
        <v>545</v>
      </c>
      <c r="K317"/>
    </row>
    <row r="318" spans="1:11">
      <c r="A318" t="s">
        <v>3032</v>
      </c>
      <c r="B318" t="s">
        <v>561</v>
      </c>
      <c r="C318" t="s">
        <v>538</v>
      </c>
      <c r="D318" t="s">
        <v>545</v>
      </c>
      <c r="K318"/>
    </row>
    <row r="319" spans="1:11">
      <c r="A319" t="s">
        <v>3033</v>
      </c>
      <c r="B319" t="s">
        <v>561</v>
      </c>
      <c r="C319" t="s">
        <v>538</v>
      </c>
      <c r="D319" t="s">
        <v>545</v>
      </c>
      <c r="K319"/>
    </row>
    <row r="320" spans="1:11">
      <c r="A320" t="s">
        <v>3034</v>
      </c>
      <c r="B320" t="s">
        <v>561</v>
      </c>
      <c r="C320" t="s">
        <v>538</v>
      </c>
      <c r="D320" t="s">
        <v>545</v>
      </c>
      <c r="K320"/>
    </row>
    <row r="321" spans="1:11">
      <c r="A321" t="s">
        <v>3035</v>
      </c>
      <c r="B321" t="s">
        <v>561</v>
      </c>
      <c r="C321" t="s">
        <v>538</v>
      </c>
      <c r="D321" t="s">
        <v>545</v>
      </c>
      <c r="K321"/>
    </row>
    <row r="322" spans="1:11">
      <c r="A322" t="s">
        <v>3036</v>
      </c>
      <c r="B322" t="s">
        <v>561</v>
      </c>
      <c r="C322" t="s">
        <v>538</v>
      </c>
      <c r="D322" t="s">
        <v>545</v>
      </c>
      <c r="K322"/>
    </row>
    <row r="323" spans="1:11">
      <c r="A323" t="s">
        <v>3037</v>
      </c>
      <c r="B323" t="s">
        <v>561</v>
      </c>
      <c r="C323" t="s">
        <v>538</v>
      </c>
      <c r="D323" t="s">
        <v>545</v>
      </c>
      <c r="K323"/>
    </row>
    <row r="324" spans="1:11">
      <c r="A324" t="s">
        <v>3038</v>
      </c>
      <c r="B324" t="s">
        <v>561</v>
      </c>
      <c r="C324" t="s">
        <v>538</v>
      </c>
      <c r="D324" t="s">
        <v>545</v>
      </c>
      <c r="K324"/>
    </row>
    <row r="325" spans="1:11">
      <c r="A325" t="s">
        <v>3039</v>
      </c>
      <c r="B325" t="s">
        <v>561</v>
      </c>
      <c r="C325" t="s">
        <v>538</v>
      </c>
      <c r="D325" t="s">
        <v>545</v>
      </c>
      <c r="K325"/>
    </row>
    <row r="326" spans="1:11">
      <c r="A326" t="s">
        <v>3040</v>
      </c>
      <c r="B326" t="s">
        <v>561</v>
      </c>
      <c r="C326" t="s">
        <v>538</v>
      </c>
      <c r="D326" t="s">
        <v>545</v>
      </c>
      <c r="K326"/>
    </row>
    <row r="327" spans="1:11">
      <c r="A327" t="s">
        <v>3041</v>
      </c>
      <c r="B327" t="s">
        <v>561</v>
      </c>
      <c r="C327" t="s">
        <v>538</v>
      </c>
      <c r="D327" t="s">
        <v>545</v>
      </c>
      <c r="K327"/>
    </row>
    <row r="328" spans="1:11">
      <c r="A328" t="s">
        <v>3042</v>
      </c>
      <c r="B328" t="s">
        <v>561</v>
      </c>
      <c r="C328" t="s">
        <v>538</v>
      </c>
      <c r="D328" t="s">
        <v>545</v>
      </c>
      <c r="K328"/>
    </row>
    <row r="329" spans="1:11">
      <c r="A329" t="s">
        <v>3043</v>
      </c>
      <c r="B329" t="s">
        <v>561</v>
      </c>
      <c r="C329" t="s">
        <v>538</v>
      </c>
      <c r="D329" t="s">
        <v>545</v>
      </c>
      <c r="K329"/>
    </row>
    <row r="330" spans="1:11">
      <c r="A330" t="s">
        <v>3044</v>
      </c>
      <c r="B330" t="s">
        <v>561</v>
      </c>
      <c r="C330" t="s">
        <v>538</v>
      </c>
      <c r="D330" t="s">
        <v>545</v>
      </c>
      <c r="K330"/>
    </row>
    <row r="331" spans="1:11">
      <c r="A331" t="s">
        <v>3045</v>
      </c>
      <c r="B331" t="s">
        <v>561</v>
      </c>
      <c r="C331" t="s">
        <v>538</v>
      </c>
      <c r="D331" t="s">
        <v>545</v>
      </c>
      <c r="K331"/>
    </row>
    <row r="332" spans="1:11">
      <c r="A332" t="s">
        <v>3046</v>
      </c>
      <c r="B332" t="s">
        <v>561</v>
      </c>
      <c r="C332" t="s">
        <v>538</v>
      </c>
      <c r="D332" t="s">
        <v>545</v>
      </c>
      <c r="K332"/>
    </row>
    <row r="333" spans="1:11">
      <c r="A333" t="s">
        <v>3047</v>
      </c>
      <c r="B333" t="s">
        <v>561</v>
      </c>
      <c r="C333" t="s">
        <v>538</v>
      </c>
      <c r="D333" t="s">
        <v>545</v>
      </c>
      <c r="K333"/>
    </row>
    <row r="334" spans="1:11">
      <c r="A334" t="s">
        <v>3048</v>
      </c>
      <c r="B334" t="s">
        <v>561</v>
      </c>
      <c r="C334" t="s">
        <v>538</v>
      </c>
      <c r="D334" t="s">
        <v>545</v>
      </c>
      <c r="K334"/>
    </row>
    <row r="335" spans="1:11">
      <c r="A335" t="s">
        <v>3049</v>
      </c>
      <c r="B335" t="s">
        <v>561</v>
      </c>
      <c r="C335" t="s">
        <v>538</v>
      </c>
      <c r="D335" t="s">
        <v>545</v>
      </c>
      <c r="K335"/>
    </row>
    <row r="336" spans="1:11">
      <c r="A336" t="s">
        <v>3050</v>
      </c>
      <c r="B336" t="s">
        <v>561</v>
      </c>
      <c r="C336" t="s">
        <v>538</v>
      </c>
      <c r="D336" t="s">
        <v>545</v>
      </c>
      <c r="K336"/>
    </row>
    <row r="337" spans="1:11">
      <c r="A337" t="s">
        <v>3051</v>
      </c>
      <c r="B337" t="s">
        <v>561</v>
      </c>
      <c r="C337" t="s">
        <v>538</v>
      </c>
      <c r="D337" t="s">
        <v>545</v>
      </c>
      <c r="K337"/>
    </row>
    <row r="338" spans="1:11">
      <c r="A338" t="s">
        <v>3052</v>
      </c>
      <c r="B338" t="s">
        <v>561</v>
      </c>
      <c r="C338" t="s">
        <v>538</v>
      </c>
      <c r="D338" t="s">
        <v>545</v>
      </c>
      <c r="K338"/>
    </row>
    <row r="339" spans="1:11">
      <c r="A339" t="s">
        <v>3053</v>
      </c>
      <c r="B339" t="s">
        <v>561</v>
      </c>
      <c r="C339" t="s">
        <v>538</v>
      </c>
      <c r="D339" t="s">
        <v>545</v>
      </c>
      <c r="K339"/>
    </row>
    <row r="340" spans="1:11">
      <c r="A340" t="s">
        <v>3054</v>
      </c>
      <c r="B340" t="s">
        <v>561</v>
      </c>
      <c r="C340" t="s">
        <v>538</v>
      </c>
      <c r="D340" t="s">
        <v>545</v>
      </c>
      <c r="K340"/>
    </row>
    <row r="341" spans="1:11">
      <c r="A341" t="s">
        <v>3055</v>
      </c>
      <c r="B341" t="s">
        <v>561</v>
      </c>
      <c r="C341" t="s">
        <v>538</v>
      </c>
      <c r="D341" t="s">
        <v>545</v>
      </c>
      <c r="K341"/>
    </row>
    <row r="342" spans="1:11">
      <c r="A342" t="s">
        <v>3056</v>
      </c>
      <c r="B342" t="s">
        <v>561</v>
      </c>
      <c r="C342" t="s">
        <v>538</v>
      </c>
      <c r="D342" t="s">
        <v>545</v>
      </c>
      <c r="K342"/>
    </row>
    <row r="343" spans="1:11">
      <c r="A343" t="s">
        <v>3057</v>
      </c>
      <c r="B343" t="s">
        <v>561</v>
      </c>
      <c r="C343" t="s">
        <v>538</v>
      </c>
      <c r="D343" t="s">
        <v>545</v>
      </c>
      <c r="K343"/>
    </row>
    <row r="344" spans="1:11">
      <c r="A344" t="s">
        <v>3058</v>
      </c>
      <c r="B344" t="s">
        <v>561</v>
      </c>
      <c r="C344" t="s">
        <v>538</v>
      </c>
      <c r="D344" t="s">
        <v>545</v>
      </c>
      <c r="K344"/>
    </row>
    <row r="345" spans="1:11">
      <c r="A345" t="s">
        <v>3059</v>
      </c>
      <c r="B345" t="s">
        <v>561</v>
      </c>
      <c r="C345" t="s">
        <v>538</v>
      </c>
      <c r="D345" t="s">
        <v>545</v>
      </c>
      <c r="K345"/>
    </row>
    <row r="346" spans="1:11">
      <c r="A346" t="s">
        <v>3060</v>
      </c>
      <c r="B346" t="s">
        <v>561</v>
      </c>
      <c r="C346" t="s">
        <v>538</v>
      </c>
      <c r="D346" t="s">
        <v>545</v>
      </c>
      <c r="K346"/>
    </row>
    <row r="347" spans="1:11">
      <c r="A347" t="s">
        <v>3061</v>
      </c>
      <c r="B347" t="s">
        <v>561</v>
      </c>
      <c r="C347" t="s">
        <v>538</v>
      </c>
      <c r="D347" t="s">
        <v>545</v>
      </c>
      <c r="K347"/>
    </row>
    <row r="348" spans="1:11">
      <c r="A348" t="s">
        <v>3062</v>
      </c>
      <c r="B348" t="s">
        <v>561</v>
      </c>
      <c r="C348" t="s">
        <v>538</v>
      </c>
      <c r="D348" t="s">
        <v>545</v>
      </c>
      <c r="K348"/>
    </row>
    <row r="349" spans="1:11">
      <c r="A349" t="s">
        <v>3063</v>
      </c>
      <c r="B349" t="s">
        <v>561</v>
      </c>
      <c r="C349" t="s">
        <v>538</v>
      </c>
      <c r="D349" t="s">
        <v>545</v>
      </c>
      <c r="K349"/>
    </row>
    <row r="350" spans="1:11">
      <c r="A350" t="s">
        <v>3064</v>
      </c>
      <c r="B350" t="s">
        <v>561</v>
      </c>
      <c r="C350" t="s">
        <v>538</v>
      </c>
      <c r="D350" t="s">
        <v>545</v>
      </c>
      <c r="K350"/>
    </row>
    <row r="351" spans="1:11">
      <c r="A351" t="s">
        <v>3065</v>
      </c>
      <c r="B351" t="s">
        <v>561</v>
      </c>
      <c r="C351" t="s">
        <v>538</v>
      </c>
      <c r="D351" t="s">
        <v>545</v>
      </c>
      <c r="K351"/>
    </row>
    <row r="352" spans="1:11">
      <c r="A352" t="s">
        <v>3066</v>
      </c>
      <c r="B352" t="s">
        <v>561</v>
      </c>
      <c r="C352" t="s">
        <v>538</v>
      </c>
      <c r="D352" t="s">
        <v>545</v>
      </c>
      <c r="K352"/>
    </row>
    <row r="353" spans="1:11">
      <c r="A353" t="s">
        <v>3067</v>
      </c>
      <c r="B353" t="s">
        <v>562</v>
      </c>
      <c r="C353" t="s">
        <v>534</v>
      </c>
      <c r="D353" t="s">
        <v>543</v>
      </c>
      <c r="K353"/>
    </row>
    <row r="354" spans="1:11">
      <c r="A354" t="s">
        <v>3068</v>
      </c>
      <c r="B354" t="s">
        <v>562</v>
      </c>
      <c r="C354" t="s">
        <v>534</v>
      </c>
      <c r="D354" t="s">
        <v>543</v>
      </c>
      <c r="K354"/>
    </row>
    <row r="355" spans="1:11">
      <c r="A355" t="s">
        <v>3069</v>
      </c>
      <c r="B355" t="s">
        <v>562</v>
      </c>
      <c r="C355" t="s">
        <v>541</v>
      </c>
      <c r="D355" t="s">
        <v>548</v>
      </c>
      <c r="K355"/>
    </row>
    <row r="356" spans="1:11">
      <c r="A356" t="s">
        <v>3070</v>
      </c>
      <c r="B356" t="s">
        <v>562</v>
      </c>
      <c r="C356" t="s">
        <v>534</v>
      </c>
      <c r="D356" t="s">
        <v>543</v>
      </c>
      <c r="K356"/>
    </row>
    <row r="357" spans="1:11">
      <c r="A357" t="s">
        <v>3071</v>
      </c>
      <c r="B357" t="s">
        <v>562</v>
      </c>
      <c r="C357" t="s">
        <v>534</v>
      </c>
      <c r="D357" t="s">
        <v>543</v>
      </c>
      <c r="K357"/>
    </row>
    <row r="358" spans="1:11">
      <c r="A358" t="s">
        <v>3072</v>
      </c>
      <c r="B358" t="s">
        <v>562</v>
      </c>
      <c r="C358" t="s">
        <v>534</v>
      </c>
      <c r="D358" t="s">
        <v>543</v>
      </c>
      <c r="K358"/>
    </row>
    <row r="359" spans="1:11">
      <c r="A359" t="s">
        <v>3073</v>
      </c>
      <c r="B359" t="s">
        <v>562</v>
      </c>
      <c r="C359" t="s">
        <v>534</v>
      </c>
      <c r="D359" t="s">
        <v>543</v>
      </c>
      <c r="K359"/>
    </row>
    <row r="360" spans="1:11">
      <c r="A360" t="s">
        <v>3074</v>
      </c>
      <c r="B360" t="s">
        <v>562</v>
      </c>
      <c r="C360" t="s">
        <v>534</v>
      </c>
      <c r="D360" t="s">
        <v>543</v>
      </c>
      <c r="K360"/>
    </row>
    <row r="361" spans="1:11">
      <c r="A361" t="s">
        <v>3075</v>
      </c>
      <c r="B361" t="s">
        <v>562</v>
      </c>
      <c r="C361" t="s">
        <v>534</v>
      </c>
      <c r="D361" t="s">
        <v>543</v>
      </c>
      <c r="K361"/>
    </row>
    <row r="362" spans="1:11">
      <c r="A362" t="s">
        <v>3076</v>
      </c>
      <c r="B362" t="s">
        <v>562</v>
      </c>
      <c r="C362" t="s">
        <v>541</v>
      </c>
      <c r="D362" t="s">
        <v>544</v>
      </c>
      <c r="K362"/>
    </row>
    <row r="363" spans="1:11">
      <c r="A363" t="s">
        <v>3077</v>
      </c>
      <c r="B363" t="s">
        <v>562</v>
      </c>
      <c r="C363" t="s">
        <v>534</v>
      </c>
      <c r="D363" t="s">
        <v>543</v>
      </c>
      <c r="K363"/>
    </row>
    <row r="364" spans="1:11">
      <c r="A364" t="s">
        <v>3078</v>
      </c>
      <c r="B364" t="s">
        <v>562</v>
      </c>
      <c r="C364" t="s">
        <v>534</v>
      </c>
      <c r="D364" t="s">
        <v>543</v>
      </c>
      <c r="K364"/>
    </row>
    <row r="365" spans="1:11">
      <c r="A365" t="s">
        <v>3079</v>
      </c>
      <c r="B365" t="s">
        <v>562</v>
      </c>
      <c r="C365" t="s">
        <v>534</v>
      </c>
      <c r="D365" t="s">
        <v>543</v>
      </c>
      <c r="K365"/>
    </row>
    <row r="366" spans="1:11">
      <c r="A366" t="s">
        <v>3080</v>
      </c>
      <c r="B366" t="s">
        <v>562</v>
      </c>
      <c r="C366" t="s">
        <v>534</v>
      </c>
      <c r="D366" t="s">
        <v>543</v>
      </c>
      <c r="K366"/>
    </row>
    <row r="367" spans="1:11">
      <c r="A367" t="s">
        <v>3081</v>
      </c>
      <c r="B367" t="s">
        <v>562</v>
      </c>
      <c r="C367" t="s">
        <v>534</v>
      </c>
      <c r="D367" t="s">
        <v>543</v>
      </c>
      <c r="K367"/>
    </row>
    <row r="368" spans="1:11">
      <c r="A368" t="s">
        <v>3082</v>
      </c>
      <c r="B368" t="s">
        <v>562</v>
      </c>
      <c r="C368" t="s">
        <v>537</v>
      </c>
      <c r="D368" t="s">
        <v>543</v>
      </c>
      <c r="K368"/>
    </row>
    <row r="369" spans="1:11">
      <c r="A369" t="s">
        <v>3083</v>
      </c>
      <c r="B369" t="s">
        <v>562</v>
      </c>
      <c r="C369" t="s">
        <v>534</v>
      </c>
      <c r="D369" t="s">
        <v>543</v>
      </c>
      <c r="K369"/>
    </row>
    <row r="370" spans="1:11">
      <c r="A370" t="s">
        <v>3084</v>
      </c>
      <c r="B370" t="s">
        <v>562</v>
      </c>
      <c r="C370" t="s">
        <v>534</v>
      </c>
      <c r="D370" t="s">
        <v>543</v>
      </c>
      <c r="K370"/>
    </row>
    <row r="371" spans="1:11">
      <c r="A371" t="s">
        <v>3085</v>
      </c>
      <c r="B371" t="s">
        <v>562</v>
      </c>
      <c r="C371" t="s">
        <v>534</v>
      </c>
      <c r="D371" t="s">
        <v>543</v>
      </c>
      <c r="K371"/>
    </row>
    <row r="372" spans="1:11">
      <c r="A372" t="s">
        <v>3086</v>
      </c>
      <c r="B372" t="s">
        <v>562</v>
      </c>
      <c r="C372" t="s">
        <v>534</v>
      </c>
      <c r="D372" t="s">
        <v>543</v>
      </c>
      <c r="K372"/>
    </row>
    <row r="373" spans="1:11">
      <c r="A373" t="s">
        <v>3087</v>
      </c>
      <c r="B373" t="s">
        <v>562</v>
      </c>
      <c r="C373" t="s">
        <v>541</v>
      </c>
      <c r="D373" t="s">
        <v>547</v>
      </c>
      <c r="K373"/>
    </row>
    <row r="374" spans="1:11">
      <c r="A374" t="s">
        <v>3088</v>
      </c>
      <c r="B374" t="s">
        <v>562</v>
      </c>
      <c r="C374" t="s">
        <v>534</v>
      </c>
      <c r="D374" t="s">
        <v>543</v>
      </c>
      <c r="K374"/>
    </row>
    <row r="375" spans="1:11">
      <c r="A375" t="s">
        <v>3089</v>
      </c>
      <c r="B375" t="s">
        <v>562</v>
      </c>
      <c r="C375" t="s">
        <v>534</v>
      </c>
      <c r="D375" t="s">
        <v>543</v>
      </c>
      <c r="K375"/>
    </row>
    <row r="376" spans="1:11">
      <c r="A376" t="s">
        <v>3090</v>
      </c>
      <c r="B376" t="s">
        <v>562</v>
      </c>
      <c r="C376" t="s">
        <v>541</v>
      </c>
      <c r="D376" t="s">
        <v>547</v>
      </c>
      <c r="K376"/>
    </row>
    <row r="377" spans="1:11">
      <c r="A377" t="s">
        <v>3091</v>
      </c>
      <c r="B377" t="s">
        <v>562</v>
      </c>
      <c r="C377" t="s">
        <v>534</v>
      </c>
      <c r="D377" t="s">
        <v>543</v>
      </c>
      <c r="K377"/>
    </row>
    <row r="378" spans="1:11">
      <c r="A378" t="s">
        <v>3092</v>
      </c>
      <c r="B378" t="s">
        <v>562</v>
      </c>
      <c r="C378" t="s">
        <v>534</v>
      </c>
      <c r="D378" t="s">
        <v>543</v>
      </c>
      <c r="K378"/>
    </row>
    <row r="379" spans="1:11">
      <c r="A379" t="s">
        <v>3093</v>
      </c>
      <c r="B379" t="s">
        <v>562</v>
      </c>
      <c r="C379" t="s">
        <v>534</v>
      </c>
      <c r="D379" t="s">
        <v>543</v>
      </c>
      <c r="K379"/>
    </row>
    <row r="380" spans="1:11">
      <c r="A380" t="s">
        <v>3094</v>
      </c>
      <c r="B380" t="s">
        <v>562</v>
      </c>
      <c r="C380" t="s">
        <v>534</v>
      </c>
      <c r="D380" t="s">
        <v>543</v>
      </c>
      <c r="K380"/>
    </row>
    <row r="381" spans="1:11">
      <c r="A381" t="s">
        <v>3095</v>
      </c>
      <c r="B381" t="s">
        <v>562</v>
      </c>
      <c r="C381" t="s">
        <v>534</v>
      </c>
      <c r="D381" t="s">
        <v>543</v>
      </c>
      <c r="K381"/>
    </row>
    <row r="382" spans="1:11">
      <c r="A382" t="s">
        <v>3096</v>
      </c>
      <c r="B382" t="s">
        <v>562</v>
      </c>
      <c r="C382" t="s">
        <v>537</v>
      </c>
      <c r="D382" t="s">
        <v>543</v>
      </c>
      <c r="K382"/>
    </row>
    <row r="383" spans="1:11">
      <c r="A383" t="s">
        <v>3097</v>
      </c>
      <c r="B383" t="s">
        <v>562</v>
      </c>
      <c r="C383" t="s">
        <v>534</v>
      </c>
      <c r="D383" t="s">
        <v>543</v>
      </c>
      <c r="K383"/>
    </row>
    <row r="384" spans="1:11">
      <c r="A384" t="s">
        <v>3098</v>
      </c>
      <c r="B384" t="s">
        <v>562</v>
      </c>
      <c r="C384" t="s">
        <v>534</v>
      </c>
      <c r="D384" t="s">
        <v>543</v>
      </c>
      <c r="K384"/>
    </row>
    <row r="385" spans="1:11">
      <c r="A385" t="s">
        <v>3099</v>
      </c>
      <c r="B385" t="s">
        <v>562</v>
      </c>
      <c r="C385" t="s">
        <v>534</v>
      </c>
      <c r="D385" t="s">
        <v>543</v>
      </c>
      <c r="K385"/>
    </row>
    <row r="386" spans="1:11">
      <c r="A386" t="s">
        <v>3100</v>
      </c>
      <c r="B386" t="s">
        <v>562</v>
      </c>
      <c r="C386" t="s">
        <v>534</v>
      </c>
      <c r="D386" t="s">
        <v>543</v>
      </c>
      <c r="K386"/>
    </row>
    <row r="387" spans="1:11">
      <c r="A387" t="s">
        <v>3101</v>
      </c>
      <c r="B387" t="s">
        <v>562</v>
      </c>
      <c r="C387" t="s">
        <v>534</v>
      </c>
      <c r="D387" t="s">
        <v>543</v>
      </c>
      <c r="K387"/>
    </row>
    <row r="388" spans="1:11">
      <c r="A388" t="s">
        <v>3102</v>
      </c>
      <c r="B388" t="s">
        <v>562</v>
      </c>
      <c r="C388" t="s">
        <v>534</v>
      </c>
      <c r="D388" t="s">
        <v>543</v>
      </c>
      <c r="K388"/>
    </row>
    <row r="389" spans="1:11">
      <c r="A389" t="s">
        <v>3103</v>
      </c>
      <c r="B389" t="s">
        <v>562</v>
      </c>
      <c r="C389" t="s">
        <v>534</v>
      </c>
      <c r="D389" t="s">
        <v>543</v>
      </c>
      <c r="K389"/>
    </row>
    <row r="390" spans="1:11">
      <c r="A390" t="s">
        <v>3104</v>
      </c>
      <c r="B390" t="s">
        <v>562</v>
      </c>
      <c r="C390" t="s">
        <v>536</v>
      </c>
      <c r="D390" t="s">
        <v>545</v>
      </c>
      <c r="K390"/>
    </row>
    <row r="391" spans="1:11">
      <c r="A391" t="s">
        <v>3105</v>
      </c>
      <c r="B391" t="s">
        <v>562</v>
      </c>
      <c r="C391" t="s">
        <v>541</v>
      </c>
      <c r="D391" t="s">
        <v>544</v>
      </c>
      <c r="K391"/>
    </row>
    <row r="392" spans="1:11">
      <c r="A392" t="s">
        <v>3106</v>
      </c>
      <c r="B392" t="s">
        <v>562</v>
      </c>
      <c r="C392" t="s">
        <v>534</v>
      </c>
      <c r="D392" t="s">
        <v>543</v>
      </c>
      <c r="K392"/>
    </row>
    <row r="393" spans="1:11">
      <c r="A393" t="s">
        <v>3107</v>
      </c>
      <c r="B393" t="s">
        <v>562</v>
      </c>
      <c r="C393" t="s">
        <v>534</v>
      </c>
      <c r="D393" t="s">
        <v>543</v>
      </c>
      <c r="K393"/>
    </row>
    <row r="394" spans="1:11">
      <c r="A394" t="s">
        <v>3108</v>
      </c>
      <c r="B394" t="s">
        <v>562</v>
      </c>
      <c r="C394" t="s">
        <v>534</v>
      </c>
      <c r="D394" t="s">
        <v>543</v>
      </c>
      <c r="K394"/>
    </row>
    <row r="395" spans="1:11">
      <c r="A395" t="s">
        <v>3109</v>
      </c>
      <c r="B395" t="s">
        <v>562</v>
      </c>
      <c r="C395" t="s">
        <v>537</v>
      </c>
      <c r="D395" t="s">
        <v>543</v>
      </c>
      <c r="K395"/>
    </row>
    <row r="396" spans="1:11">
      <c r="A396" t="s">
        <v>3110</v>
      </c>
      <c r="B396" t="s">
        <v>562</v>
      </c>
      <c r="C396" t="s">
        <v>534</v>
      </c>
      <c r="D396" t="s">
        <v>543</v>
      </c>
      <c r="K396"/>
    </row>
    <row r="397" spans="1:11">
      <c r="A397" t="s">
        <v>3111</v>
      </c>
      <c r="B397" t="s">
        <v>562</v>
      </c>
      <c r="C397" t="s">
        <v>534</v>
      </c>
      <c r="D397" t="s">
        <v>543</v>
      </c>
      <c r="K397"/>
    </row>
    <row r="398" spans="1:11">
      <c r="A398" t="s">
        <v>3112</v>
      </c>
      <c r="B398" t="s">
        <v>562</v>
      </c>
      <c r="C398" t="s">
        <v>534</v>
      </c>
      <c r="D398" t="s">
        <v>543</v>
      </c>
      <c r="K398"/>
    </row>
    <row r="399" spans="1:11">
      <c r="A399" t="s">
        <v>3113</v>
      </c>
      <c r="B399" t="s">
        <v>562</v>
      </c>
      <c r="C399" t="s">
        <v>534</v>
      </c>
      <c r="D399" t="s">
        <v>543</v>
      </c>
      <c r="K399"/>
    </row>
    <row r="400" spans="1:11">
      <c r="A400" t="s">
        <v>3114</v>
      </c>
      <c r="B400" t="s">
        <v>562</v>
      </c>
      <c r="C400" t="s">
        <v>534</v>
      </c>
      <c r="D400" t="s">
        <v>543</v>
      </c>
      <c r="K400"/>
    </row>
    <row r="401" spans="1:11">
      <c r="A401" t="s">
        <v>3115</v>
      </c>
      <c r="B401" t="s">
        <v>562</v>
      </c>
      <c r="C401" t="s">
        <v>534</v>
      </c>
      <c r="D401" t="s">
        <v>543</v>
      </c>
      <c r="K401"/>
    </row>
    <row r="402" spans="1:11">
      <c r="A402" t="s">
        <v>3116</v>
      </c>
      <c r="B402" t="s">
        <v>562</v>
      </c>
      <c r="C402" t="s">
        <v>534</v>
      </c>
      <c r="D402" t="s">
        <v>543</v>
      </c>
      <c r="K402"/>
    </row>
    <row r="403" spans="1:11">
      <c r="A403" t="s">
        <v>3117</v>
      </c>
      <c r="B403" t="s">
        <v>562</v>
      </c>
      <c r="C403" t="s">
        <v>534</v>
      </c>
      <c r="D403" t="s">
        <v>543</v>
      </c>
      <c r="K403"/>
    </row>
    <row r="404" spans="1:11">
      <c r="A404" t="s">
        <v>3118</v>
      </c>
      <c r="B404" t="s">
        <v>562</v>
      </c>
      <c r="C404" t="s">
        <v>534</v>
      </c>
      <c r="D404" t="s">
        <v>543</v>
      </c>
      <c r="K404"/>
    </row>
    <row r="405" spans="1:11">
      <c r="A405" t="s">
        <v>3119</v>
      </c>
      <c r="B405" t="s">
        <v>562</v>
      </c>
      <c r="C405" t="s">
        <v>535</v>
      </c>
      <c r="D405" t="s">
        <v>547</v>
      </c>
      <c r="K405"/>
    </row>
    <row r="406" spans="1:11">
      <c r="A406" t="s">
        <v>3120</v>
      </c>
      <c r="B406" t="s">
        <v>562</v>
      </c>
      <c r="C406" t="s">
        <v>541</v>
      </c>
      <c r="D406" t="s">
        <v>547</v>
      </c>
      <c r="K406"/>
    </row>
    <row r="407" spans="1:11">
      <c r="A407" t="s">
        <v>3121</v>
      </c>
      <c r="B407" t="s">
        <v>562</v>
      </c>
      <c r="C407" t="s">
        <v>535</v>
      </c>
      <c r="D407" t="s">
        <v>546</v>
      </c>
      <c r="K407"/>
    </row>
    <row r="408" spans="1:11">
      <c r="A408" t="s">
        <v>3122</v>
      </c>
      <c r="B408" t="s">
        <v>562</v>
      </c>
      <c r="C408" t="s">
        <v>534</v>
      </c>
      <c r="D408" t="s">
        <v>543</v>
      </c>
      <c r="K408"/>
    </row>
    <row r="409" spans="1:11">
      <c r="A409" t="s">
        <v>3123</v>
      </c>
      <c r="B409" t="s">
        <v>562</v>
      </c>
      <c r="C409" t="s">
        <v>534</v>
      </c>
      <c r="D409" t="s">
        <v>543</v>
      </c>
      <c r="K409"/>
    </row>
    <row r="410" spans="1:11">
      <c r="A410" t="s">
        <v>3124</v>
      </c>
      <c r="B410" t="s">
        <v>562</v>
      </c>
      <c r="C410" t="s">
        <v>541</v>
      </c>
      <c r="D410" t="s">
        <v>544</v>
      </c>
      <c r="K410"/>
    </row>
    <row r="411" spans="1:11">
      <c r="A411" t="s">
        <v>3125</v>
      </c>
      <c r="B411" t="s">
        <v>562</v>
      </c>
      <c r="C411" t="s">
        <v>535</v>
      </c>
      <c r="D411" t="s">
        <v>543</v>
      </c>
      <c r="K411"/>
    </row>
    <row r="412" spans="1:11">
      <c r="A412" t="s">
        <v>3126</v>
      </c>
      <c r="B412" t="s">
        <v>562</v>
      </c>
      <c r="C412" t="s">
        <v>537</v>
      </c>
      <c r="D412" t="s">
        <v>543</v>
      </c>
      <c r="K412"/>
    </row>
    <row r="413" spans="1:11">
      <c r="A413" t="s">
        <v>3127</v>
      </c>
      <c r="B413" t="s">
        <v>562</v>
      </c>
      <c r="C413" t="s">
        <v>534</v>
      </c>
      <c r="D413" t="s">
        <v>543</v>
      </c>
      <c r="K413"/>
    </row>
    <row r="414" spans="1:11">
      <c r="A414" t="s">
        <v>3128</v>
      </c>
      <c r="B414" t="s">
        <v>562</v>
      </c>
      <c r="C414" t="s">
        <v>534</v>
      </c>
      <c r="D414" t="s">
        <v>543</v>
      </c>
      <c r="K414"/>
    </row>
    <row r="415" spans="1:11">
      <c r="A415" t="s">
        <v>3129</v>
      </c>
      <c r="B415" t="s">
        <v>562</v>
      </c>
      <c r="C415" t="s">
        <v>534</v>
      </c>
      <c r="D415" t="s">
        <v>543</v>
      </c>
      <c r="K415"/>
    </row>
    <row r="416" spans="1:11">
      <c r="A416" t="s">
        <v>3130</v>
      </c>
      <c r="B416" t="s">
        <v>562</v>
      </c>
      <c r="C416" t="s">
        <v>534</v>
      </c>
      <c r="D416" t="s">
        <v>543</v>
      </c>
      <c r="K416"/>
    </row>
    <row r="417" spans="1:11">
      <c r="A417" t="s">
        <v>3131</v>
      </c>
      <c r="B417" t="s">
        <v>562</v>
      </c>
      <c r="C417" t="s">
        <v>534</v>
      </c>
      <c r="D417" t="s">
        <v>543</v>
      </c>
      <c r="K417"/>
    </row>
    <row r="418" spans="1:11">
      <c r="A418" t="s">
        <v>3132</v>
      </c>
      <c r="B418" t="s">
        <v>562</v>
      </c>
      <c r="C418" t="s">
        <v>534</v>
      </c>
      <c r="D418" t="s">
        <v>543</v>
      </c>
      <c r="K418"/>
    </row>
    <row r="419" spans="1:11">
      <c r="A419" t="s">
        <v>3133</v>
      </c>
      <c r="B419" t="s">
        <v>562</v>
      </c>
      <c r="C419" t="s">
        <v>534</v>
      </c>
      <c r="D419" t="s">
        <v>543</v>
      </c>
      <c r="K419"/>
    </row>
    <row r="420" spans="1:11">
      <c r="A420" t="s">
        <v>3134</v>
      </c>
      <c r="B420" t="s">
        <v>562</v>
      </c>
      <c r="C420" t="s">
        <v>534</v>
      </c>
      <c r="D420" t="s">
        <v>543</v>
      </c>
      <c r="K420"/>
    </row>
    <row r="421" spans="1:11">
      <c r="A421" t="s">
        <v>3135</v>
      </c>
      <c r="B421" t="s">
        <v>562</v>
      </c>
      <c r="C421" t="s">
        <v>534</v>
      </c>
      <c r="D421" t="s">
        <v>543</v>
      </c>
      <c r="K421"/>
    </row>
    <row r="422" spans="1:11">
      <c r="A422" t="s">
        <v>3136</v>
      </c>
      <c r="B422" t="s">
        <v>562</v>
      </c>
      <c r="C422" t="s">
        <v>534</v>
      </c>
      <c r="D422" t="s">
        <v>543</v>
      </c>
      <c r="K422"/>
    </row>
    <row r="423" spans="1:11">
      <c r="A423" t="s">
        <v>3137</v>
      </c>
      <c r="B423" t="s">
        <v>562</v>
      </c>
      <c r="C423" t="s">
        <v>534</v>
      </c>
      <c r="D423" t="s">
        <v>543</v>
      </c>
      <c r="K423"/>
    </row>
    <row r="424" spans="1:11">
      <c r="A424" t="s">
        <v>3138</v>
      </c>
      <c r="B424" t="s">
        <v>562</v>
      </c>
      <c r="C424" t="s">
        <v>534</v>
      </c>
      <c r="D424" t="s">
        <v>543</v>
      </c>
      <c r="K424"/>
    </row>
    <row r="425" spans="1:11">
      <c r="A425" t="s">
        <v>3139</v>
      </c>
      <c r="B425" t="s">
        <v>562</v>
      </c>
      <c r="C425" t="s">
        <v>534</v>
      </c>
      <c r="D425" t="s">
        <v>543</v>
      </c>
      <c r="K425"/>
    </row>
    <row r="426" spans="1:11">
      <c r="A426" t="s">
        <v>3538</v>
      </c>
      <c r="B426" t="s">
        <v>562</v>
      </c>
      <c r="C426" t="s">
        <v>534</v>
      </c>
      <c r="D426" t="s">
        <v>543</v>
      </c>
      <c r="K426"/>
    </row>
    <row r="427" spans="1:11">
      <c r="A427" t="s">
        <v>3140</v>
      </c>
      <c r="B427" t="s">
        <v>562</v>
      </c>
      <c r="C427" t="s">
        <v>534</v>
      </c>
      <c r="D427" t="s">
        <v>543</v>
      </c>
      <c r="K427"/>
    </row>
    <row r="428" spans="1:11">
      <c r="A428" t="s">
        <v>3141</v>
      </c>
      <c r="B428" t="s">
        <v>562</v>
      </c>
      <c r="C428" t="s">
        <v>534</v>
      </c>
      <c r="D428" t="s">
        <v>543</v>
      </c>
      <c r="K428"/>
    </row>
    <row r="429" spans="1:11">
      <c r="A429" t="s">
        <v>3142</v>
      </c>
      <c r="B429" t="s">
        <v>562</v>
      </c>
      <c r="C429" t="s">
        <v>534</v>
      </c>
      <c r="D429" t="s">
        <v>543</v>
      </c>
      <c r="K429"/>
    </row>
    <row r="430" spans="1:11">
      <c r="A430" t="s">
        <v>3143</v>
      </c>
      <c r="B430" t="s">
        <v>562</v>
      </c>
      <c r="C430" t="s">
        <v>534</v>
      </c>
      <c r="D430" t="s">
        <v>543</v>
      </c>
      <c r="K430"/>
    </row>
    <row r="431" spans="1:11">
      <c r="A431" t="s">
        <v>3144</v>
      </c>
      <c r="B431" t="s">
        <v>562</v>
      </c>
      <c r="C431" t="s">
        <v>534</v>
      </c>
      <c r="D431" t="s">
        <v>543</v>
      </c>
      <c r="K431"/>
    </row>
    <row r="432" spans="1:11">
      <c r="A432" t="s">
        <v>3145</v>
      </c>
      <c r="B432" t="s">
        <v>562</v>
      </c>
      <c r="C432" t="s">
        <v>534</v>
      </c>
      <c r="D432" t="s">
        <v>543</v>
      </c>
      <c r="K432"/>
    </row>
    <row r="433" spans="1:11">
      <c r="A433" t="s">
        <v>3146</v>
      </c>
      <c r="B433" t="s">
        <v>562</v>
      </c>
      <c r="C433" t="s">
        <v>534</v>
      </c>
      <c r="D433" t="s">
        <v>543</v>
      </c>
      <c r="K433"/>
    </row>
    <row r="434" spans="1:11">
      <c r="A434" t="s">
        <v>3147</v>
      </c>
      <c r="B434" t="s">
        <v>562</v>
      </c>
      <c r="C434" t="s">
        <v>534</v>
      </c>
      <c r="D434" t="s">
        <v>543</v>
      </c>
      <c r="K434"/>
    </row>
    <row r="435" spans="1:11">
      <c r="A435" t="s">
        <v>3148</v>
      </c>
      <c r="B435" t="s">
        <v>562</v>
      </c>
      <c r="C435" t="s">
        <v>534</v>
      </c>
      <c r="D435" t="s">
        <v>543</v>
      </c>
      <c r="K435"/>
    </row>
    <row r="436" spans="1:11">
      <c r="A436" t="s">
        <v>3149</v>
      </c>
      <c r="B436" t="s">
        <v>562</v>
      </c>
      <c r="C436" t="s">
        <v>534</v>
      </c>
      <c r="D436" t="s">
        <v>543</v>
      </c>
      <c r="K436"/>
    </row>
    <row r="437" spans="1:11">
      <c r="A437" t="s">
        <v>3150</v>
      </c>
      <c r="B437" t="s">
        <v>562</v>
      </c>
      <c r="C437" t="s">
        <v>534</v>
      </c>
      <c r="D437" t="s">
        <v>543</v>
      </c>
      <c r="K437"/>
    </row>
    <row r="438" spans="1:11">
      <c r="A438" t="s">
        <v>3151</v>
      </c>
      <c r="B438" t="s">
        <v>562</v>
      </c>
      <c r="C438" t="s">
        <v>534</v>
      </c>
      <c r="D438" t="s">
        <v>543</v>
      </c>
      <c r="K438"/>
    </row>
    <row r="439" spans="1:11">
      <c r="A439" t="s">
        <v>3152</v>
      </c>
      <c r="B439" t="s">
        <v>562</v>
      </c>
      <c r="C439" t="s">
        <v>534</v>
      </c>
      <c r="D439" t="s">
        <v>543</v>
      </c>
      <c r="K439"/>
    </row>
    <row r="440" spans="1:11">
      <c r="A440" t="s">
        <v>3153</v>
      </c>
      <c r="B440" t="s">
        <v>562</v>
      </c>
      <c r="C440" t="s">
        <v>534</v>
      </c>
      <c r="D440" t="s">
        <v>543</v>
      </c>
      <c r="K440"/>
    </row>
    <row r="441" spans="1:11">
      <c r="A441" t="s">
        <v>3154</v>
      </c>
      <c r="B441" t="s">
        <v>562</v>
      </c>
      <c r="C441" t="s">
        <v>541</v>
      </c>
      <c r="D441" t="s">
        <v>547</v>
      </c>
      <c r="K441"/>
    </row>
    <row r="442" spans="1:11">
      <c r="A442" t="s">
        <v>3155</v>
      </c>
      <c r="B442" t="s">
        <v>562</v>
      </c>
      <c r="C442" t="s">
        <v>534</v>
      </c>
      <c r="D442" t="s">
        <v>543</v>
      </c>
      <c r="K442"/>
    </row>
    <row r="443" spans="1:11">
      <c r="A443" t="s">
        <v>3156</v>
      </c>
      <c r="B443" t="s">
        <v>562</v>
      </c>
      <c r="C443" t="s">
        <v>534</v>
      </c>
      <c r="D443" t="s">
        <v>543</v>
      </c>
      <c r="K443"/>
    </row>
    <row r="444" spans="1:11">
      <c r="A444" t="s">
        <v>3157</v>
      </c>
      <c r="B444" t="s">
        <v>562</v>
      </c>
      <c r="C444" t="s">
        <v>534</v>
      </c>
      <c r="D444" t="s">
        <v>543</v>
      </c>
      <c r="K444"/>
    </row>
    <row r="445" spans="1:11">
      <c r="A445" t="s">
        <v>3158</v>
      </c>
      <c r="B445" t="s">
        <v>562</v>
      </c>
      <c r="C445" t="s">
        <v>534</v>
      </c>
      <c r="D445" t="s">
        <v>543</v>
      </c>
      <c r="K445"/>
    </row>
    <row r="446" spans="1:11">
      <c r="A446" t="s">
        <v>3159</v>
      </c>
      <c r="B446" t="s">
        <v>562</v>
      </c>
      <c r="C446" t="s">
        <v>534</v>
      </c>
      <c r="D446" t="s">
        <v>543</v>
      </c>
      <c r="K446"/>
    </row>
    <row r="447" spans="1:11">
      <c r="A447" t="s">
        <v>3160</v>
      </c>
      <c r="B447" t="s">
        <v>562</v>
      </c>
      <c r="C447" t="s">
        <v>541</v>
      </c>
      <c r="D447" t="s">
        <v>544</v>
      </c>
      <c r="K447"/>
    </row>
    <row r="448" spans="1:11">
      <c r="A448" t="s">
        <v>3161</v>
      </c>
      <c r="B448" t="s">
        <v>562</v>
      </c>
      <c r="C448" t="s">
        <v>534</v>
      </c>
      <c r="D448" t="s">
        <v>543</v>
      </c>
      <c r="K448"/>
    </row>
    <row r="449" spans="1:11">
      <c r="A449" t="s">
        <v>3162</v>
      </c>
      <c r="B449" t="s">
        <v>562</v>
      </c>
      <c r="C449" t="s">
        <v>534</v>
      </c>
      <c r="D449" t="s">
        <v>543</v>
      </c>
      <c r="K449"/>
    </row>
    <row r="450" spans="1:11">
      <c r="A450" t="s">
        <v>3163</v>
      </c>
      <c r="B450" t="s">
        <v>562</v>
      </c>
      <c r="C450" t="s">
        <v>534</v>
      </c>
      <c r="D450" t="s">
        <v>543</v>
      </c>
      <c r="K450"/>
    </row>
    <row r="451" spans="1:11">
      <c r="A451" t="s">
        <v>3164</v>
      </c>
      <c r="B451" t="s">
        <v>562</v>
      </c>
      <c r="C451" t="s">
        <v>534</v>
      </c>
      <c r="D451" t="s">
        <v>543</v>
      </c>
      <c r="K451"/>
    </row>
    <row r="452" spans="1:11">
      <c r="A452" t="s">
        <v>3165</v>
      </c>
      <c r="B452" t="s">
        <v>562</v>
      </c>
      <c r="C452" t="s">
        <v>534</v>
      </c>
      <c r="D452" t="s">
        <v>543</v>
      </c>
      <c r="K452"/>
    </row>
    <row r="453" spans="1:11">
      <c r="A453" t="s">
        <v>3166</v>
      </c>
      <c r="B453" t="s">
        <v>561</v>
      </c>
      <c r="C453" t="s">
        <v>538</v>
      </c>
      <c r="D453" t="s">
        <v>543</v>
      </c>
      <c r="K453"/>
    </row>
    <row r="454" spans="1:11">
      <c r="A454" t="s">
        <v>3167</v>
      </c>
      <c r="B454" t="s">
        <v>561</v>
      </c>
      <c r="C454" t="s">
        <v>538</v>
      </c>
      <c r="D454" t="s">
        <v>543</v>
      </c>
      <c r="K454"/>
    </row>
    <row r="455" spans="1:11">
      <c r="A455" t="s">
        <v>3168</v>
      </c>
      <c r="B455" t="s">
        <v>561</v>
      </c>
      <c r="C455" t="s">
        <v>538</v>
      </c>
      <c r="D455" t="s">
        <v>543</v>
      </c>
      <c r="K455"/>
    </row>
    <row r="456" spans="1:11">
      <c r="A456" t="s">
        <v>3169</v>
      </c>
      <c r="B456" t="s">
        <v>561</v>
      </c>
      <c r="C456" t="s">
        <v>538</v>
      </c>
      <c r="D456" t="s">
        <v>543</v>
      </c>
      <c r="K456"/>
    </row>
    <row r="457" spans="1:11">
      <c r="A457" t="s">
        <v>3170</v>
      </c>
      <c r="B457" t="s">
        <v>561</v>
      </c>
      <c r="C457" t="s">
        <v>538</v>
      </c>
      <c r="D457" t="s">
        <v>543</v>
      </c>
      <c r="K457"/>
    </row>
    <row r="458" spans="1:11">
      <c r="A458" t="s">
        <v>3171</v>
      </c>
      <c r="B458" t="s">
        <v>561</v>
      </c>
      <c r="C458" t="s">
        <v>538</v>
      </c>
      <c r="D458" t="s">
        <v>543</v>
      </c>
      <c r="K458"/>
    </row>
    <row r="459" spans="1:11">
      <c r="A459" t="s">
        <v>3172</v>
      </c>
      <c r="B459" t="s">
        <v>561</v>
      </c>
      <c r="C459" t="s">
        <v>538</v>
      </c>
      <c r="D459" t="s">
        <v>543</v>
      </c>
      <c r="K459"/>
    </row>
    <row r="460" spans="1:11">
      <c r="A460" t="s">
        <v>3173</v>
      </c>
      <c r="B460" t="s">
        <v>561</v>
      </c>
      <c r="C460" t="s">
        <v>538</v>
      </c>
      <c r="D460" t="s">
        <v>543</v>
      </c>
      <c r="K460"/>
    </row>
    <row r="461" spans="1:11">
      <c r="A461" t="s">
        <v>3174</v>
      </c>
      <c r="B461" t="s">
        <v>561</v>
      </c>
      <c r="C461" t="s">
        <v>538</v>
      </c>
      <c r="D461" t="s">
        <v>543</v>
      </c>
      <c r="K461"/>
    </row>
    <row r="462" spans="1:11">
      <c r="A462" t="s">
        <v>3175</v>
      </c>
      <c r="B462" t="s">
        <v>561</v>
      </c>
      <c r="C462" t="s">
        <v>538</v>
      </c>
      <c r="D462" t="s">
        <v>543</v>
      </c>
      <c r="K462"/>
    </row>
    <row r="463" spans="1:11">
      <c r="A463" t="s">
        <v>3176</v>
      </c>
      <c r="B463" t="s">
        <v>561</v>
      </c>
      <c r="C463" t="s">
        <v>538</v>
      </c>
      <c r="D463" t="s">
        <v>543</v>
      </c>
      <c r="K463"/>
    </row>
    <row r="464" spans="1:11">
      <c r="A464" t="s">
        <v>3177</v>
      </c>
      <c r="B464" t="s">
        <v>561</v>
      </c>
      <c r="C464" t="s">
        <v>538</v>
      </c>
      <c r="D464" t="s">
        <v>543</v>
      </c>
      <c r="K464"/>
    </row>
    <row r="465" spans="1:11">
      <c r="A465" t="s">
        <v>3178</v>
      </c>
      <c r="B465" t="s">
        <v>561</v>
      </c>
      <c r="C465" t="s">
        <v>538</v>
      </c>
      <c r="D465" t="s">
        <v>543</v>
      </c>
      <c r="K465"/>
    </row>
    <row r="466" spans="1:11">
      <c r="A466" t="s">
        <v>3179</v>
      </c>
      <c r="B466" t="s">
        <v>561</v>
      </c>
      <c r="C466" t="s">
        <v>538</v>
      </c>
      <c r="D466" t="s">
        <v>543</v>
      </c>
      <c r="K466"/>
    </row>
    <row r="467" spans="1:11">
      <c r="A467" t="s">
        <v>3180</v>
      </c>
      <c r="B467" t="s">
        <v>561</v>
      </c>
      <c r="C467" t="s">
        <v>538</v>
      </c>
      <c r="D467" t="s">
        <v>543</v>
      </c>
      <c r="K467"/>
    </row>
    <row r="468" spans="1:11">
      <c r="A468" t="s">
        <v>3181</v>
      </c>
      <c r="B468" t="s">
        <v>561</v>
      </c>
      <c r="C468" t="s">
        <v>538</v>
      </c>
      <c r="D468" t="s">
        <v>543</v>
      </c>
      <c r="K468"/>
    </row>
    <row r="469" spans="1:11">
      <c r="A469" t="s">
        <v>3182</v>
      </c>
      <c r="B469" t="s">
        <v>561</v>
      </c>
      <c r="C469" t="s">
        <v>538</v>
      </c>
      <c r="D469" t="s">
        <v>543</v>
      </c>
      <c r="K469"/>
    </row>
    <row r="470" spans="1:11">
      <c r="A470" t="s">
        <v>3183</v>
      </c>
      <c r="B470" t="s">
        <v>561</v>
      </c>
      <c r="C470" t="s">
        <v>538</v>
      </c>
      <c r="D470" t="s">
        <v>543</v>
      </c>
      <c r="K470"/>
    </row>
    <row r="471" spans="1:11">
      <c r="A471" t="s">
        <v>3184</v>
      </c>
      <c r="B471" t="s">
        <v>561</v>
      </c>
      <c r="C471" t="s">
        <v>538</v>
      </c>
      <c r="D471" t="s">
        <v>543</v>
      </c>
      <c r="K471"/>
    </row>
    <row r="472" spans="1:11">
      <c r="A472" t="s">
        <v>3185</v>
      </c>
      <c r="B472" t="s">
        <v>561</v>
      </c>
      <c r="C472" t="s">
        <v>538</v>
      </c>
      <c r="D472" t="s">
        <v>543</v>
      </c>
      <c r="K472"/>
    </row>
    <row r="473" spans="1:11">
      <c r="A473" t="s">
        <v>3186</v>
      </c>
      <c r="B473" t="s">
        <v>561</v>
      </c>
      <c r="C473" t="s">
        <v>538</v>
      </c>
      <c r="D473" t="s">
        <v>543</v>
      </c>
      <c r="K473"/>
    </row>
    <row r="474" spans="1:11">
      <c r="A474" t="s">
        <v>3187</v>
      </c>
      <c r="B474" t="s">
        <v>561</v>
      </c>
      <c r="C474" t="s">
        <v>538</v>
      </c>
      <c r="D474" t="s">
        <v>543</v>
      </c>
      <c r="K474"/>
    </row>
    <row r="475" spans="1:11">
      <c r="A475" t="s">
        <v>3188</v>
      </c>
      <c r="B475" t="s">
        <v>561</v>
      </c>
      <c r="C475" t="s">
        <v>538</v>
      </c>
      <c r="D475" t="s">
        <v>543</v>
      </c>
      <c r="K475"/>
    </row>
    <row r="476" spans="1:11">
      <c r="A476" t="s">
        <v>3189</v>
      </c>
      <c r="B476" t="s">
        <v>561</v>
      </c>
      <c r="C476" t="s">
        <v>538</v>
      </c>
      <c r="D476" t="s">
        <v>543</v>
      </c>
      <c r="K476"/>
    </row>
    <row r="477" spans="1:11">
      <c r="A477" t="s">
        <v>3190</v>
      </c>
      <c r="B477" t="s">
        <v>561</v>
      </c>
      <c r="C477" t="s">
        <v>538</v>
      </c>
      <c r="D477" t="s">
        <v>543</v>
      </c>
      <c r="K477"/>
    </row>
    <row r="478" spans="1:11">
      <c r="A478" t="s">
        <v>3191</v>
      </c>
      <c r="B478" t="s">
        <v>561</v>
      </c>
      <c r="C478" t="s">
        <v>538</v>
      </c>
      <c r="D478" t="s">
        <v>543</v>
      </c>
      <c r="K478"/>
    </row>
    <row r="479" spans="1:11">
      <c r="A479" t="s">
        <v>3192</v>
      </c>
      <c r="B479" t="s">
        <v>561</v>
      </c>
      <c r="C479" t="s">
        <v>538</v>
      </c>
      <c r="D479" t="s">
        <v>543</v>
      </c>
      <c r="K479"/>
    </row>
    <row r="480" spans="1:11">
      <c r="A480" t="s">
        <v>3193</v>
      </c>
      <c r="B480" t="s">
        <v>561</v>
      </c>
      <c r="C480" t="s">
        <v>538</v>
      </c>
      <c r="D480" t="s">
        <v>543</v>
      </c>
      <c r="K480"/>
    </row>
    <row r="481" spans="1:11">
      <c r="A481" t="s">
        <v>3194</v>
      </c>
      <c r="B481" t="s">
        <v>561</v>
      </c>
      <c r="C481" t="s">
        <v>538</v>
      </c>
      <c r="D481" t="s">
        <v>543</v>
      </c>
      <c r="K481"/>
    </row>
    <row r="482" spans="1:11">
      <c r="A482" t="s">
        <v>3195</v>
      </c>
      <c r="B482" t="s">
        <v>561</v>
      </c>
      <c r="C482" t="s">
        <v>538</v>
      </c>
      <c r="D482" t="s">
        <v>543</v>
      </c>
      <c r="K482"/>
    </row>
    <row r="483" spans="1:11">
      <c r="A483" t="s">
        <v>3196</v>
      </c>
      <c r="B483" t="s">
        <v>561</v>
      </c>
      <c r="C483" t="s">
        <v>538</v>
      </c>
      <c r="D483" t="s">
        <v>543</v>
      </c>
      <c r="K483"/>
    </row>
    <row r="484" spans="1:11">
      <c r="A484" t="s">
        <v>3197</v>
      </c>
      <c r="B484" t="s">
        <v>561</v>
      </c>
      <c r="C484" t="s">
        <v>538</v>
      </c>
      <c r="D484" t="s">
        <v>543</v>
      </c>
      <c r="K484"/>
    </row>
    <row r="485" spans="1:11">
      <c r="A485" t="s">
        <v>3198</v>
      </c>
      <c r="B485" t="s">
        <v>561</v>
      </c>
      <c r="C485" t="s">
        <v>538</v>
      </c>
      <c r="D485" t="s">
        <v>543</v>
      </c>
      <c r="K485"/>
    </row>
    <row r="486" spans="1:11">
      <c r="A486" t="s">
        <v>3199</v>
      </c>
      <c r="B486" t="s">
        <v>561</v>
      </c>
      <c r="C486" t="s">
        <v>538</v>
      </c>
      <c r="D486" t="s">
        <v>543</v>
      </c>
      <c r="K486"/>
    </row>
    <row r="487" spans="1:11">
      <c r="A487" t="s">
        <v>3200</v>
      </c>
      <c r="B487" t="s">
        <v>561</v>
      </c>
      <c r="C487" t="s">
        <v>538</v>
      </c>
      <c r="D487" t="s">
        <v>543</v>
      </c>
      <c r="K487"/>
    </row>
    <row r="488" spans="1:11">
      <c r="A488" t="s">
        <v>3201</v>
      </c>
      <c r="B488" t="s">
        <v>561</v>
      </c>
      <c r="C488" t="s">
        <v>538</v>
      </c>
      <c r="D488" t="s">
        <v>543</v>
      </c>
      <c r="K488"/>
    </row>
    <row r="489" spans="1:11">
      <c r="A489" t="s">
        <v>3202</v>
      </c>
      <c r="B489" t="s">
        <v>561</v>
      </c>
      <c r="C489" t="s">
        <v>538</v>
      </c>
      <c r="D489" t="s">
        <v>543</v>
      </c>
      <c r="K489"/>
    </row>
    <row r="490" spans="1:11">
      <c r="A490" t="s">
        <v>3203</v>
      </c>
      <c r="B490" t="s">
        <v>561</v>
      </c>
      <c r="C490" t="s">
        <v>538</v>
      </c>
      <c r="D490" t="s">
        <v>543</v>
      </c>
      <c r="K490"/>
    </row>
    <row r="491" spans="1:11">
      <c r="A491" t="s">
        <v>3204</v>
      </c>
      <c r="B491" t="s">
        <v>561</v>
      </c>
      <c r="C491" t="s">
        <v>538</v>
      </c>
      <c r="D491" t="s">
        <v>543</v>
      </c>
      <c r="K491"/>
    </row>
    <row r="492" spans="1:11">
      <c r="A492" t="s">
        <v>3205</v>
      </c>
      <c r="B492" t="s">
        <v>561</v>
      </c>
      <c r="C492" t="s">
        <v>538</v>
      </c>
      <c r="D492" t="s">
        <v>543</v>
      </c>
      <c r="K492"/>
    </row>
    <row r="493" spans="1:11">
      <c r="A493" t="s">
        <v>3206</v>
      </c>
      <c r="B493" t="s">
        <v>561</v>
      </c>
      <c r="C493" t="s">
        <v>538</v>
      </c>
      <c r="D493" t="s">
        <v>543</v>
      </c>
      <c r="K493"/>
    </row>
    <row r="494" spans="1:11">
      <c r="A494" t="s">
        <v>3207</v>
      </c>
      <c r="B494" t="s">
        <v>561</v>
      </c>
      <c r="C494" t="s">
        <v>538</v>
      </c>
      <c r="D494" t="s">
        <v>543</v>
      </c>
      <c r="K494"/>
    </row>
    <row r="495" spans="1:11">
      <c r="A495" t="s">
        <v>3208</v>
      </c>
      <c r="B495" t="s">
        <v>561</v>
      </c>
      <c r="C495" t="s">
        <v>538</v>
      </c>
      <c r="D495" t="s">
        <v>543</v>
      </c>
      <c r="K495"/>
    </row>
    <row r="496" spans="1:11">
      <c r="A496" t="s">
        <v>3209</v>
      </c>
      <c r="B496" t="s">
        <v>561</v>
      </c>
      <c r="C496" t="s">
        <v>538</v>
      </c>
      <c r="D496" t="s">
        <v>543</v>
      </c>
      <c r="K496"/>
    </row>
    <row r="497" spans="1:11">
      <c r="A497" t="s">
        <v>3210</v>
      </c>
      <c r="B497" t="s">
        <v>561</v>
      </c>
      <c r="C497" t="s">
        <v>538</v>
      </c>
      <c r="D497" t="s">
        <v>543</v>
      </c>
      <c r="K497"/>
    </row>
    <row r="498" spans="1:11">
      <c r="A498" t="s">
        <v>3211</v>
      </c>
      <c r="B498" t="s">
        <v>561</v>
      </c>
      <c r="C498" t="s">
        <v>538</v>
      </c>
      <c r="D498" t="s">
        <v>543</v>
      </c>
      <c r="K498"/>
    </row>
    <row r="499" spans="1:11">
      <c r="A499" t="s">
        <v>3212</v>
      </c>
      <c r="B499" t="s">
        <v>561</v>
      </c>
      <c r="C499" t="s">
        <v>538</v>
      </c>
      <c r="D499" t="s">
        <v>543</v>
      </c>
      <c r="K499"/>
    </row>
    <row r="500" spans="1:11">
      <c r="A500" t="s">
        <v>3213</v>
      </c>
      <c r="B500" t="s">
        <v>561</v>
      </c>
      <c r="C500" t="s">
        <v>538</v>
      </c>
      <c r="D500" t="s">
        <v>543</v>
      </c>
      <c r="K500"/>
    </row>
    <row r="501" spans="1:11">
      <c r="A501" t="s">
        <v>3214</v>
      </c>
      <c r="B501" t="s">
        <v>561</v>
      </c>
      <c r="C501" t="s">
        <v>538</v>
      </c>
      <c r="D501" t="s">
        <v>543</v>
      </c>
      <c r="K501"/>
    </row>
    <row r="502" spans="1:11">
      <c r="A502" t="s">
        <v>3215</v>
      </c>
      <c r="B502" t="s">
        <v>561</v>
      </c>
      <c r="C502" t="s">
        <v>538</v>
      </c>
      <c r="D502" t="s">
        <v>543</v>
      </c>
      <c r="K502"/>
    </row>
    <row r="503" spans="1:11">
      <c r="A503" t="s">
        <v>3216</v>
      </c>
      <c r="B503" t="s">
        <v>561</v>
      </c>
      <c r="C503" t="s">
        <v>538</v>
      </c>
      <c r="D503" t="s">
        <v>543</v>
      </c>
      <c r="K503"/>
    </row>
    <row r="504" spans="1:11">
      <c r="A504" t="s">
        <v>3217</v>
      </c>
      <c r="B504" t="s">
        <v>561</v>
      </c>
      <c r="C504" t="s">
        <v>538</v>
      </c>
      <c r="D504" t="s">
        <v>543</v>
      </c>
      <c r="K504"/>
    </row>
    <row r="505" spans="1:11">
      <c r="A505" t="s">
        <v>3218</v>
      </c>
      <c r="B505" t="s">
        <v>561</v>
      </c>
      <c r="C505" t="s">
        <v>533</v>
      </c>
      <c r="D505" t="s">
        <v>543</v>
      </c>
      <c r="K505"/>
    </row>
    <row r="506" spans="1:11">
      <c r="A506" t="s">
        <v>3219</v>
      </c>
      <c r="B506" t="s">
        <v>562</v>
      </c>
      <c r="C506" t="s">
        <v>538</v>
      </c>
      <c r="D506" t="s">
        <v>543</v>
      </c>
      <c r="K506"/>
    </row>
    <row r="507" spans="1:11">
      <c r="A507" t="s">
        <v>3220</v>
      </c>
      <c r="B507" t="s">
        <v>563</v>
      </c>
      <c r="C507" t="s">
        <v>538</v>
      </c>
      <c r="D507" t="s">
        <v>547</v>
      </c>
      <c r="K507"/>
    </row>
    <row r="508" spans="1:11">
      <c r="A508" t="s">
        <v>3221</v>
      </c>
      <c r="B508" t="s">
        <v>563</v>
      </c>
      <c r="C508" t="s">
        <v>538</v>
      </c>
      <c r="D508" t="s">
        <v>547</v>
      </c>
      <c r="K508"/>
    </row>
    <row r="509" spans="1:11">
      <c r="A509" t="s">
        <v>3222</v>
      </c>
      <c r="B509" t="s">
        <v>562</v>
      </c>
      <c r="C509" t="s">
        <v>538</v>
      </c>
      <c r="D509" t="s">
        <v>543</v>
      </c>
      <c r="K509"/>
    </row>
    <row r="510" spans="1:11">
      <c r="A510" t="s">
        <v>3223</v>
      </c>
      <c r="B510" t="s">
        <v>562</v>
      </c>
      <c r="C510" t="s">
        <v>538</v>
      </c>
      <c r="D510" t="s">
        <v>543</v>
      </c>
      <c r="K510"/>
    </row>
    <row r="511" spans="1:11">
      <c r="A511" t="s">
        <v>3224</v>
      </c>
      <c r="B511" t="s">
        <v>562</v>
      </c>
      <c r="C511" t="s">
        <v>538</v>
      </c>
      <c r="D511" t="s">
        <v>543</v>
      </c>
      <c r="K511"/>
    </row>
    <row r="512" spans="1:11">
      <c r="A512" t="s">
        <v>3225</v>
      </c>
      <c r="B512" t="s">
        <v>562</v>
      </c>
      <c r="C512" t="s">
        <v>538</v>
      </c>
      <c r="D512" t="s">
        <v>543</v>
      </c>
      <c r="K512"/>
    </row>
    <row r="513" spans="1:11">
      <c r="A513" t="s">
        <v>3226</v>
      </c>
      <c r="B513" t="s">
        <v>562</v>
      </c>
      <c r="C513" t="s">
        <v>538</v>
      </c>
      <c r="D513" t="s">
        <v>543</v>
      </c>
      <c r="K513"/>
    </row>
    <row r="514" spans="1:11">
      <c r="A514" t="s">
        <v>3227</v>
      </c>
      <c r="B514" t="s">
        <v>562</v>
      </c>
      <c r="C514" t="s">
        <v>538</v>
      </c>
      <c r="D514" t="s">
        <v>543</v>
      </c>
      <c r="K514"/>
    </row>
    <row r="515" spans="1:11">
      <c r="A515" t="s">
        <v>3228</v>
      </c>
      <c r="B515" t="s">
        <v>562</v>
      </c>
      <c r="C515" t="s">
        <v>538</v>
      </c>
      <c r="D515" t="s">
        <v>543</v>
      </c>
      <c r="K515"/>
    </row>
    <row r="516" spans="1:11">
      <c r="A516" t="s">
        <v>3229</v>
      </c>
      <c r="B516" t="s">
        <v>562</v>
      </c>
      <c r="C516" t="s">
        <v>538</v>
      </c>
      <c r="D516" t="s">
        <v>543</v>
      </c>
      <c r="K516"/>
    </row>
    <row r="517" spans="1:11">
      <c r="A517" t="s">
        <v>3230</v>
      </c>
      <c r="B517" t="s">
        <v>562</v>
      </c>
      <c r="C517" t="s">
        <v>538</v>
      </c>
      <c r="D517" t="s">
        <v>543</v>
      </c>
      <c r="K517"/>
    </row>
    <row r="518" spans="1:11">
      <c r="A518" t="s">
        <v>3231</v>
      </c>
      <c r="B518" t="s">
        <v>562</v>
      </c>
      <c r="C518" t="s">
        <v>538</v>
      </c>
      <c r="D518" t="s">
        <v>543</v>
      </c>
      <c r="K518"/>
    </row>
    <row r="519" spans="1:11">
      <c r="A519" t="s">
        <v>3232</v>
      </c>
      <c r="B519" t="s">
        <v>563</v>
      </c>
      <c r="C519" t="s">
        <v>538</v>
      </c>
      <c r="D519" t="s">
        <v>547</v>
      </c>
      <c r="K519"/>
    </row>
    <row r="520" spans="1:11">
      <c r="A520" t="s">
        <v>3233</v>
      </c>
      <c r="B520" t="s">
        <v>562</v>
      </c>
      <c r="C520" t="s">
        <v>538</v>
      </c>
      <c r="D520" t="s">
        <v>543</v>
      </c>
      <c r="K520"/>
    </row>
    <row r="521" spans="1:11">
      <c r="A521" t="s">
        <v>3234</v>
      </c>
      <c r="B521" t="s">
        <v>562</v>
      </c>
      <c r="C521" t="s">
        <v>538</v>
      </c>
      <c r="D521" t="s">
        <v>543</v>
      </c>
      <c r="K521"/>
    </row>
    <row r="522" spans="1:11">
      <c r="A522" t="s">
        <v>3235</v>
      </c>
      <c r="B522" t="s">
        <v>562</v>
      </c>
      <c r="C522" t="s">
        <v>538</v>
      </c>
      <c r="D522" t="s">
        <v>543</v>
      </c>
      <c r="K522"/>
    </row>
    <row r="523" spans="1:11">
      <c r="A523" t="s">
        <v>3236</v>
      </c>
      <c r="B523" t="s">
        <v>563</v>
      </c>
      <c r="C523" t="s">
        <v>538</v>
      </c>
      <c r="D523" t="s">
        <v>547</v>
      </c>
      <c r="K523"/>
    </row>
    <row r="524" spans="1:11">
      <c r="A524" t="s">
        <v>3237</v>
      </c>
      <c r="B524" t="s">
        <v>562</v>
      </c>
      <c r="C524" t="s">
        <v>538</v>
      </c>
      <c r="D524" t="s">
        <v>543</v>
      </c>
      <c r="K524"/>
    </row>
    <row r="525" spans="1:11">
      <c r="A525" t="s">
        <v>3238</v>
      </c>
      <c r="B525" t="s">
        <v>562</v>
      </c>
      <c r="C525" t="s">
        <v>538</v>
      </c>
      <c r="D525" t="s">
        <v>543</v>
      </c>
      <c r="K525"/>
    </row>
    <row r="526" spans="1:11">
      <c r="A526" t="s">
        <v>3239</v>
      </c>
      <c r="B526" t="s">
        <v>562</v>
      </c>
      <c r="C526" t="s">
        <v>538</v>
      </c>
      <c r="D526" t="s">
        <v>543</v>
      </c>
      <c r="K526"/>
    </row>
    <row r="527" spans="1:11">
      <c r="A527" t="s">
        <v>3240</v>
      </c>
      <c r="B527" t="s">
        <v>562</v>
      </c>
      <c r="C527" t="s">
        <v>538</v>
      </c>
      <c r="D527" t="s">
        <v>543</v>
      </c>
      <c r="K527"/>
    </row>
    <row r="528" spans="1:11">
      <c r="A528" t="s">
        <v>3241</v>
      </c>
      <c r="B528" t="s">
        <v>563</v>
      </c>
      <c r="C528" t="s">
        <v>538</v>
      </c>
      <c r="D528" t="s">
        <v>547</v>
      </c>
      <c r="K528"/>
    </row>
    <row r="529" spans="1:11">
      <c r="A529" t="s">
        <v>3242</v>
      </c>
      <c r="B529" t="s">
        <v>563</v>
      </c>
      <c r="C529" t="s">
        <v>538</v>
      </c>
      <c r="D529" t="s">
        <v>547</v>
      </c>
      <c r="K529"/>
    </row>
    <row r="530" spans="1:11">
      <c r="A530" t="s">
        <v>3243</v>
      </c>
      <c r="B530" t="s">
        <v>562</v>
      </c>
      <c r="C530" t="s">
        <v>538</v>
      </c>
      <c r="D530" t="s">
        <v>543</v>
      </c>
      <c r="K530"/>
    </row>
    <row r="531" spans="1:11">
      <c r="A531" t="s">
        <v>3244</v>
      </c>
      <c r="B531" t="s">
        <v>562</v>
      </c>
      <c r="C531" t="s">
        <v>538</v>
      </c>
      <c r="D531" t="s">
        <v>543</v>
      </c>
      <c r="K531"/>
    </row>
    <row r="532" spans="1:11">
      <c r="A532" t="s">
        <v>3245</v>
      </c>
      <c r="B532" t="s">
        <v>563</v>
      </c>
      <c r="C532" t="s">
        <v>538</v>
      </c>
      <c r="D532" t="s">
        <v>547</v>
      </c>
      <c r="K532"/>
    </row>
    <row r="533" spans="1:11">
      <c r="A533" t="s">
        <v>3246</v>
      </c>
      <c r="B533" t="s">
        <v>562</v>
      </c>
      <c r="C533" t="s">
        <v>538</v>
      </c>
      <c r="D533" t="s">
        <v>543</v>
      </c>
      <c r="K533"/>
    </row>
    <row r="534" spans="1:11">
      <c r="A534" t="s">
        <v>3247</v>
      </c>
      <c r="B534" t="s">
        <v>562</v>
      </c>
      <c r="C534" t="s">
        <v>538</v>
      </c>
      <c r="D534" t="s">
        <v>543</v>
      </c>
      <c r="K534"/>
    </row>
    <row r="535" spans="1:11">
      <c r="A535" t="s">
        <v>3248</v>
      </c>
      <c r="B535" t="s">
        <v>562</v>
      </c>
      <c r="C535" t="s">
        <v>538</v>
      </c>
      <c r="D535" t="s">
        <v>543</v>
      </c>
      <c r="K535"/>
    </row>
    <row r="536" spans="1:11">
      <c r="A536" t="s">
        <v>3249</v>
      </c>
      <c r="B536" t="s">
        <v>563</v>
      </c>
      <c r="C536" t="s">
        <v>538</v>
      </c>
      <c r="D536" t="s">
        <v>547</v>
      </c>
      <c r="K536"/>
    </row>
    <row r="537" spans="1:11">
      <c r="A537" t="s">
        <v>3250</v>
      </c>
      <c r="B537" t="s">
        <v>562</v>
      </c>
      <c r="C537" t="s">
        <v>538</v>
      </c>
      <c r="D537" t="s">
        <v>543</v>
      </c>
      <c r="K537"/>
    </row>
    <row r="538" spans="1:11">
      <c r="A538" t="s">
        <v>3251</v>
      </c>
      <c r="B538" t="s">
        <v>562</v>
      </c>
      <c r="C538" t="s">
        <v>538</v>
      </c>
      <c r="D538" t="s">
        <v>543</v>
      </c>
      <c r="K538"/>
    </row>
    <row r="539" spans="1:11">
      <c r="A539" t="s">
        <v>3252</v>
      </c>
      <c r="B539" t="s">
        <v>562</v>
      </c>
      <c r="C539" t="s">
        <v>538</v>
      </c>
      <c r="D539" t="s">
        <v>543</v>
      </c>
      <c r="K539"/>
    </row>
    <row r="540" spans="1:11">
      <c r="A540" t="s">
        <v>3253</v>
      </c>
      <c r="B540" t="s">
        <v>562</v>
      </c>
      <c r="C540" t="s">
        <v>538</v>
      </c>
      <c r="D540" t="s">
        <v>543</v>
      </c>
      <c r="K540"/>
    </row>
    <row r="541" spans="1:11">
      <c r="A541" t="s">
        <v>3254</v>
      </c>
      <c r="B541" t="s">
        <v>562</v>
      </c>
      <c r="C541" t="s">
        <v>538</v>
      </c>
      <c r="D541" t="s">
        <v>548</v>
      </c>
      <c r="K541"/>
    </row>
    <row r="542" spans="1:11">
      <c r="A542" t="s">
        <v>3255</v>
      </c>
      <c r="B542" t="s">
        <v>563</v>
      </c>
      <c r="C542" t="s">
        <v>538</v>
      </c>
      <c r="D542" t="s">
        <v>547</v>
      </c>
      <c r="K542"/>
    </row>
    <row r="543" spans="1:11">
      <c r="A543" t="s">
        <v>3256</v>
      </c>
      <c r="B543" t="s">
        <v>563</v>
      </c>
      <c r="C543" t="s">
        <v>538</v>
      </c>
      <c r="D543" t="s">
        <v>547</v>
      </c>
      <c r="K543"/>
    </row>
    <row r="544" spans="1:11">
      <c r="A544" t="s">
        <v>3257</v>
      </c>
      <c r="B544" t="s">
        <v>563</v>
      </c>
      <c r="C544" t="s">
        <v>538</v>
      </c>
      <c r="D544" t="s">
        <v>547</v>
      </c>
      <c r="K544"/>
    </row>
    <row r="545" spans="1:11">
      <c r="A545" t="s">
        <v>3258</v>
      </c>
      <c r="B545" t="s">
        <v>562</v>
      </c>
      <c r="C545" t="s">
        <v>538</v>
      </c>
      <c r="D545" t="s">
        <v>543</v>
      </c>
      <c r="K545"/>
    </row>
    <row r="546" spans="1:11">
      <c r="A546" t="s">
        <v>3259</v>
      </c>
      <c r="B546" t="s">
        <v>562</v>
      </c>
      <c r="C546" t="s">
        <v>538</v>
      </c>
      <c r="D546" t="s">
        <v>543</v>
      </c>
      <c r="K546"/>
    </row>
    <row r="547" spans="1:11">
      <c r="A547" t="s">
        <v>3526</v>
      </c>
      <c r="B547" t="s">
        <v>562</v>
      </c>
      <c r="C547" t="s">
        <v>538</v>
      </c>
      <c r="D547" t="s">
        <v>543</v>
      </c>
      <c r="K547"/>
    </row>
    <row r="548" spans="1:11">
      <c r="A548" t="s">
        <v>3260</v>
      </c>
      <c r="B548" t="s">
        <v>562</v>
      </c>
      <c r="C548" t="s">
        <v>538</v>
      </c>
      <c r="D548" t="s">
        <v>543</v>
      </c>
      <c r="K548"/>
    </row>
    <row r="549" spans="1:11">
      <c r="A549" t="s">
        <v>3261</v>
      </c>
      <c r="B549" t="s">
        <v>562</v>
      </c>
      <c r="C549" t="s">
        <v>538</v>
      </c>
      <c r="D549" t="s">
        <v>543</v>
      </c>
      <c r="K549"/>
    </row>
    <row r="550" spans="1:11">
      <c r="A550" t="s">
        <v>3262</v>
      </c>
      <c r="B550" t="s">
        <v>563</v>
      </c>
      <c r="C550" t="s">
        <v>538</v>
      </c>
      <c r="D550" t="s">
        <v>547</v>
      </c>
      <c r="K550"/>
    </row>
    <row r="551" spans="1:11">
      <c r="A551" t="s">
        <v>3263</v>
      </c>
      <c r="B551" t="s">
        <v>562</v>
      </c>
      <c r="C551" t="s">
        <v>538</v>
      </c>
      <c r="D551" t="s">
        <v>543</v>
      </c>
      <c r="K551"/>
    </row>
    <row r="552" spans="1:11">
      <c r="A552" t="s">
        <v>3264</v>
      </c>
      <c r="B552" t="s">
        <v>563</v>
      </c>
      <c r="C552" t="s">
        <v>538</v>
      </c>
      <c r="D552" t="s">
        <v>546</v>
      </c>
      <c r="K552"/>
    </row>
    <row r="553" spans="1:11">
      <c r="A553" t="s">
        <v>3265</v>
      </c>
      <c r="B553" t="s">
        <v>563</v>
      </c>
      <c r="C553" t="s">
        <v>538</v>
      </c>
      <c r="D553" t="s">
        <v>546</v>
      </c>
      <c r="K553"/>
    </row>
    <row r="554" spans="1:11">
      <c r="A554" t="s">
        <v>3266</v>
      </c>
      <c r="B554" t="s">
        <v>562</v>
      </c>
      <c r="C554" t="s">
        <v>538</v>
      </c>
      <c r="D554" t="s">
        <v>548</v>
      </c>
      <c r="K554"/>
    </row>
    <row r="555" spans="1:11">
      <c r="A555" t="s">
        <v>3267</v>
      </c>
      <c r="B555" t="s">
        <v>563</v>
      </c>
      <c r="C555" t="s">
        <v>538</v>
      </c>
      <c r="D555" t="s">
        <v>546</v>
      </c>
      <c r="K555"/>
    </row>
    <row r="556" spans="1:11">
      <c r="A556" t="s">
        <v>3268</v>
      </c>
      <c r="B556" t="s">
        <v>563</v>
      </c>
      <c r="C556" t="s">
        <v>538</v>
      </c>
      <c r="D556" t="s">
        <v>547</v>
      </c>
      <c r="K556"/>
    </row>
    <row r="557" spans="1:11">
      <c r="A557" t="s">
        <v>3269</v>
      </c>
      <c r="B557" t="s">
        <v>562</v>
      </c>
      <c r="C557" t="s">
        <v>538</v>
      </c>
      <c r="D557" t="s">
        <v>543</v>
      </c>
      <c r="K557"/>
    </row>
    <row r="558" spans="1:11">
      <c r="A558" t="s">
        <v>3270</v>
      </c>
      <c r="B558" t="s">
        <v>563</v>
      </c>
      <c r="C558" t="s">
        <v>538</v>
      </c>
      <c r="D558" t="s">
        <v>546</v>
      </c>
      <c r="K558"/>
    </row>
    <row r="559" spans="1:11">
      <c r="A559" t="s">
        <v>3271</v>
      </c>
      <c r="B559" t="s">
        <v>562</v>
      </c>
      <c r="C559" t="s">
        <v>538</v>
      </c>
      <c r="D559" t="s">
        <v>543</v>
      </c>
      <c r="K559"/>
    </row>
    <row r="560" spans="1:11">
      <c r="A560" t="s">
        <v>3272</v>
      </c>
      <c r="B560" t="s">
        <v>563</v>
      </c>
      <c r="C560" t="s">
        <v>538</v>
      </c>
      <c r="D560" t="s">
        <v>546</v>
      </c>
      <c r="K560"/>
    </row>
    <row r="561" spans="1:11">
      <c r="A561" t="s">
        <v>3273</v>
      </c>
      <c r="B561" t="s">
        <v>562</v>
      </c>
      <c r="C561" t="s">
        <v>538</v>
      </c>
      <c r="D561" t="s">
        <v>543</v>
      </c>
      <c r="K561"/>
    </row>
    <row r="562" spans="1:11">
      <c r="A562" t="s">
        <v>3274</v>
      </c>
      <c r="B562" t="s">
        <v>562</v>
      </c>
      <c r="C562" t="s">
        <v>538</v>
      </c>
      <c r="D562" t="s">
        <v>543</v>
      </c>
      <c r="K562"/>
    </row>
    <row r="563" spans="1:11">
      <c r="A563" t="s">
        <v>3275</v>
      </c>
      <c r="B563" t="s">
        <v>562</v>
      </c>
      <c r="C563" t="s">
        <v>538</v>
      </c>
      <c r="D563" t="s">
        <v>543</v>
      </c>
      <c r="K563"/>
    </row>
    <row r="564" spans="1:11">
      <c r="A564" t="s">
        <v>3276</v>
      </c>
      <c r="B564" t="s">
        <v>561</v>
      </c>
      <c r="C564" t="s">
        <v>534</v>
      </c>
      <c r="D564" t="s">
        <v>547</v>
      </c>
      <c r="K564"/>
    </row>
    <row r="565" spans="1:11">
      <c r="A565" t="s">
        <v>3277</v>
      </c>
      <c r="B565" t="s">
        <v>561</v>
      </c>
      <c r="C565" t="s">
        <v>534</v>
      </c>
      <c r="D565" t="s">
        <v>547</v>
      </c>
      <c r="K565"/>
    </row>
    <row r="566" spans="1:11">
      <c r="A566" t="s">
        <v>3278</v>
      </c>
      <c r="B566" t="s">
        <v>561</v>
      </c>
      <c r="C566" t="s">
        <v>534</v>
      </c>
      <c r="D566" t="s">
        <v>546</v>
      </c>
      <c r="K566"/>
    </row>
    <row r="567" spans="1:11">
      <c r="A567" t="s">
        <v>3279</v>
      </c>
      <c r="B567" t="s">
        <v>561</v>
      </c>
      <c r="C567" t="s">
        <v>534</v>
      </c>
      <c r="D567" t="s">
        <v>547</v>
      </c>
      <c r="K567"/>
    </row>
    <row r="568" spans="1:11">
      <c r="A568" t="s">
        <v>3280</v>
      </c>
      <c r="B568" t="s">
        <v>561</v>
      </c>
      <c r="C568" t="s">
        <v>537</v>
      </c>
      <c r="D568" t="s">
        <v>544</v>
      </c>
      <c r="K568"/>
    </row>
    <row r="569" spans="1:11">
      <c r="A569" t="s">
        <v>3281</v>
      </c>
      <c r="B569" t="s">
        <v>561</v>
      </c>
      <c r="C569" t="s">
        <v>534</v>
      </c>
      <c r="D569" t="s">
        <v>543</v>
      </c>
      <c r="K569"/>
    </row>
    <row r="570" spans="1:11">
      <c r="A570" t="s">
        <v>3282</v>
      </c>
      <c r="B570" t="s">
        <v>561</v>
      </c>
      <c r="C570" t="s">
        <v>538</v>
      </c>
      <c r="D570" t="s">
        <v>543</v>
      </c>
      <c r="K570"/>
    </row>
    <row r="571" spans="1:11">
      <c r="A571" t="s">
        <v>3283</v>
      </c>
      <c r="B571" t="s">
        <v>561</v>
      </c>
      <c r="C571" t="s">
        <v>538</v>
      </c>
      <c r="D571" t="s">
        <v>543</v>
      </c>
      <c r="K571"/>
    </row>
    <row r="572" spans="1:11">
      <c r="A572" t="s">
        <v>236</v>
      </c>
      <c r="B572" t="s">
        <v>561</v>
      </c>
      <c r="C572" t="s">
        <v>540</v>
      </c>
      <c r="D572" t="s">
        <v>545</v>
      </c>
      <c r="K572"/>
    </row>
    <row r="573" spans="1:11">
      <c r="A573" t="s">
        <v>220</v>
      </c>
      <c r="B573" t="s">
        <v>561</v>
      </c>
      <c r="C573" t="s">
        <v>540</v>
      </c>
      <c r="D573" t="s">
        <v>547</v>
      </c>
      <c r="K573"/>
    </row>
    <row r="574" spans="1:11">
      <c r="A574" t="s">
        <v>221</v>
      </c>
      <c r="B574" t="s">
        <v>561</v>
      </c>
      <c r="C574" t="s">
        <v>540</v>
      </c>
      <c r="D574" t="s">
        <v>544</v>
      </c>
      <c r="K574"/>
    </row>
    <row r="575" spans="1:11">
      <c r="A575" t="s">
        <v>222</v>
      </c>
      <c r="B575" t="s">
        <v>561</v>
      </c>
      <c r="C575" t="s">
        <v>540</v>
      </c>
      <c r="D575" t="s">
        <v>546</v>
      </c>
      <c r="K575"/>
    </row>
    <row r="576" spans="1:11">
      <c r="A576" t="s">
        <v>223</v>
      </c>
      <c r="B576" t="s">
        <v>561</v>
      </c>
      <c r="C576" t="s">
        <v>540</v>
      </c>
      <c r="D576" t="s">
        <v>548</v>
      </c>
      <c r="K576"/>
    </row>
    <row r="577" spans="1:11">
      <c r="A577" t="s">
        <v>224</v>
      </c>
      <c r="B577" t="s">
        <v>561</v>
      </c>
      <c r="C577" t="s">
        <v>540</v>
      </c>
      <c r="D577" t="s">
        <v>549</v>
      </c>
      <c r="K577"/>
    </row>
    <row r="578" spans="1:11">
      <c r="A578" t="s">
        <v>225</v>
      </c>
      <c r="B578" t="s">
        <v>561</v>
      </c>
      <c r="C578" t="s">
        <v>540</v>
      </c>
      <c r="D578" t="s">
        <v>551</v>
      </c>
      <c r="K578"/>
    </row>
    <row r="579" spans="1:11">
      <c r="A579" t="s">
        <v>226</v>
      </c>
      <c r="B579" t="s">
        <v>561</v>
      </c>
      <c r="C579" t="s">
        <v>540</v>
      </c>
      <c r="D579" t="s">
        <v>556</v>
      </c>
      <c r="K579"/>
    </row>
    <row r="580" spans="1:11">
      <c r="A580" t="s">
        <v>227</v>
      </c>
      <c r="B580" t="s">
        <v>561</v>
      </c>
      <c r="C580" t="s">
        <v>540</v>
      </c>
      <c r="D580" t="s">
        <v>557</v>
      </c>
      <c r="K580"/>
    </row>
    <row r="581" spans="1:11">
      <c r="A581" t="s">
        <v>228</v>
      </c>
      <c r="B581" t="s">
        <v>561</v>
      </c>
      <c r="C581" t="s">
        <v>540</v>
      </c>
      <c r="D581" t="s">
        <v>550</v>
      </c>
      <c r="K581"/>
    </row>
    <row r="582" spans="1:11">
      <c r="A582" t="s">
        <v>229</v>
      </c>
      <c r="B582" t="s">
        <v>561</v>
      </c>
      <c r="C582" t="s">
        <v>540</v>
      </c>
      <c r="D582" t="s">
        <v>550</v>
      </c>
      <c r="K582"/>
    </row>
    <row r="583" spans="1:11">
      <c r="A583" t="s">
        <v>230</v>
      </c>
      <c r="B583" t="s">
        <v>561</v>
      </c>
      <c r="C583" t="s">
        <v>540</v>
      </c>
      <c r="D583" t="s">
        <v>544</v>
      </c>
      <c r="K583"/>
    </row>
    <row r="584" spans="1:11">
      <c r="A584" t="s">
        <v>231</v>
      </c>
      <c r="B584" t="s">
        <v>561</v>
      </c>
      <c r="C584" t="s">
        <v>540</v>
      </c>
      <c r="D584" t="s">
        <v>544</v>
      </c>
      <c r="K584"/>
    </row>
    <row r="585" spans="1:11">
      <c r="A585" t="s">
        <v>232</v>
      </c>
      <c r="B585" t="s">
        <v>561</v>
      </c>
      <c r="C585" t="s">
        <v>539</v>
      </c>
      <c r="D585" t="s">
        <v>543</v>
      </c>
      <c r="K585"/>
    </row>
    <row r="586" spans="1:11">
      <c r="A586" t="s">
        <v>233</v>
      </c>
      <c r="B586" t="s">
        <v>561</v>
      </c>
      <c r="C586" t="s">
        <v>540</v>
      </c>
      <c r="D586" t="s">
        <v>552</v>
      </c>
      <c r="K586"/>
    </row>
    <row r="587" spans="1:11">
      <c r="A587" t="s">
        <v>3284</v>
      </c>
      <c r="B587" t="s">
        <v>561</v>
      </c>
      <c r="C587" t="s">
        <v>534</v>
      </c>
      <c r="D587" t="s">
        <v>544</v>
      </c>
      <c r="K587"/>
    </row>
    <row r="588" spans="1:11">
      <c r="A588" t="s">
        <v>3285</v>
      </c>
      <c r="B588" t="s">
        <v>561</v>
      </c>
      <c r="C588" t="s">
        <v>534</v>
      </c>
      <c r="D588" t="s">
        <v>544</v>
      </c>
      <c r="K588"/>
    </row>
    <row r="589" spans="1:11">
      <c r="A589" t="s">
        <v>3286</v>
      </c>
      <c r="B589" t="s">
        <v>561</v>
      </c>
      <c r="C589" t="s">
        <v>534</v>
      </c>
      <c r="D589" t="s">
        <v>544</v>
      </c>
      <c r="K589"/>
    </row>
    <row r="590" spans="1:11">
      <c r="A590" t="s">
        <v>3287</v>
      </c>
      <c r="B590" t="s">
        <v>561</v>
      </c>
      <c r="C590" t="s">
        <v>534</v>
      </c>
      <c r="D590" t="s">
        <v>544</v>
      </c>
      <c r="K590"/>
    </row>
    <row r="591" spans="1:11">
      <c r="A591" t="s">
        <v>3288</v>
      </c>
      <c r="B591" t="s">
        <v>561</v>
      </c>
      <c r="C591" t="s">
        <v>534</v>
      </c>
      <c r="D591" t="s">
        <v>544</v>
      </c>
      <c r="K591"/>
    </row>
    <row r="592" spans="1:11">
      <c r="A592" t="s">
        <v>3289</v>
      </c>
      <c r="B592" t="s">
        <v>561</v>
      </c>
      <c r="C592" t="s">
        <v>534</v>
      </c>
      <c r="D592" t="s">
        <v>544</v>
      </c>
      <c r="K592"/>
    </row>
    <row r="593" spans="1:11">
      <c r="A593" t="s">
        <v>3290</v>
      </c>
      <c r="B593" t="s">
        <v>561</v>
      </c>
      <c r="C593" t="s">
        <v>534</v>
      </c>
      <c r="D593" t="s">
        <v>544</v>
      </c>
      <c r="K593"/>
    </row>
    <row r="594" spans="1:11">
      <c r="A594" t="s">
        <v>3291</v>
      </c>
      <c r="B594" t="s">
        <v>561</v>
      </c>
      <c r="C594" t="s">
        <v>534</v>
      </c>
      <c r="D594" t="s">
        <v>544</v>
      </c>
      <c r="K594"/>
    </row>
    <row r="595" spans="1:11">
      <c r="A595" t="s">
        <v>3292</v>
      </c>
      <c r="B595" t="s">
        <v>561</v>
      </c>
      <c r="C595" t="s">
        <v>534</v>
      </c>
      <c r="D595" t="s">
        <v>544</v>
      </c>
      <c r="K595"/>
    </row>
    <row r="596" spans="1:11">
      <c r="A596" t="s">
        <v>3293</v>
      </c>
      <c r="B596" t="s">
        <v>561</v>
      </c>
      <c r="C596" t="s">
        <v>534</v>
      </c>
      <c r="D596" t="s">
        <v>544</v>
      </c>
      <c r="K596"/>
    </row>
    <row r="597" spans="1:11">
      <c r="A597" t="s">
        <v>3294</v>
      </c>
      <c r="B597" t="s">
        <v>561</v>
      </c>
      <c r="C597" t="s">
        <v>541</v>
      </c>
      <c r="D597" t="s">
        <v>545</v>
      </c>
      <c r="K597"/>
    </row>
    <row r="598" spans="1:11">
      <c r="A598" t="s">
        <v>3295</v>
      </c>
      <c r="B598" t="s">
        <v>561</v>
      </c>
      <c r="C598" t="s">
        <v>541</v>
      </c>
      <c r="D598" t="s">
        <v>545</v>
      </c>
      <c r="K598"/>
    </row>
    <row r="599" spans="1:11">
      <c r="A599" t="s">
        <v>3296</v>
      </c>
      <c r="B599" t="s">
        <v>561</v>
      </c>
      <c r="C599" t="s">
        <v>541</v>
      </c>
      <c r="D599" t="s">
        <v>543</v>
      </c>
      <c r="K599"/>
    </row>
    <row r="600" spans="1:11">
      <c r="A600" t="s">
        <v>3297</v>
      </c>
      <c r="B600" t="s">
        <v>561</v>
      </c>
      <c r="C600" t="s">
        <v>541</v>
      </c>
      <c r="D600" t="s">
        <v>546</v>
      </c>
      <c r="K600"/>
    </row>
    <row r="601" spans="1:11">
      <c r="A601" t="s">
        <v>3298</v>
      </c>
      <c r="B601" t="s">
        <v>561</v>
      </c>
      <c r="C601" t="s">
        <v>541</v>
      </c>
      <c r="D601" t="s">
        <v>543</v>
      </c>
      <c r="K601"/>
    </row>
    <row r="602" spans="1:11">
      <c r="A602" t="s">
        <v>3299</v>
      </c>
      <c r="B602" t="s">
        <v>561</v>
      </c>
      <c r="C602" t="s">
        <v>541</v>
      </c>
      <c r="D602" t="s">
        <v>543</v>
      </c>
      <c r="K602"/>
    </row>
    <row r="603" spans="1:11">
      <c r="A603" t="s">
        <v>3300</v>
      </c>
      <c r="B603" t="s">
        <v>561</v>
      </c>
      <c r="C603" t="s">
        <v>534</v>
      </c>
      <c r="D603" t="s">
        <v>543</v>
      </c>
      <c r="K603"/>
    </row>
    <row r="604" spans="1:11">
      <c r="A604" t="s">
        <v>3301</v>
      </c>
      <c r="B604" t="s">
        <v>562</v>
      </c>
      <c r="C604" t="s">
        <v>534</v>
      </c>
      <c r="D604" t="s">
        <v>543</v>
      </c>
      <c r="K604"/>
    </row>
    <row r="605" spans="1:11">
      <c r="A605" t="s">
        <v>3302</v>
      </c>
      <c r="B605" t="s">
        <v>562</v>
      </c>
      <c r="C605" t="s">
        <v>541</v>
      </c>
      <c r="D605" t="s">
        <v>547</v>
      </c>
      <c r="K605"/>
    </row>
    <row r="606" spans="1:11">
      <c r="A606" t="s">
        <v>3303</v>
      </c>
      <c r="B606" t="s">
        <v>562</v>
      </c>
      <c r="C606" t="s">
        <v>534</v>
      </c>
      <c r="D606" t="s">
        <v>543</v>
      </c>
      <c r="K606"/>
    </row>
    <row r="607" spans="1:11">
      <c r="A607" t="s">
        <v>3304</v>
      </c>
      <c r="B607" t="s">
        <v>562</v>
      </c>
      <c r="C607" t="s">
        <v>534</v>
      </c>
      <c r="D607" t="s">
        <v>543</v>
      </c>
      <c r="K607"/>
    </row>
    <row r="608" spans="1:11">
      <c r="A608" t="s">
        <v>3305</v>
      </c>
      <c r="B608" t="s">
        <v>562</v>
      </c>
      <c r="C608" t="s">
        <v>534</v>
      </c>
      <c r="D608" t="s">
        <v>543</v>
      </c>
      <c r="K608"/>
    </row>
    <row r="609" spans="1:11">
      <c r="A609" t="s">
        <v>3306</v>
      </c>
      <c r="B609" t="s">
        <v>562</v>
      </c>
      <c r="C609" t="s">
        <v>534</v>
      </c>
      <c r="D609" t="s">
        <v>543</v>
      </c>
      <c r="K609"/>
    </row>
    <row r="610" spans="1:11">
      <c r="A610" t="s">
        <v>3307</v>
      </c>
      <c r="B610" t="s">
        <v>562</v>
      </c>
      <c r="C610" t="s">
        <v>534</v>
      </c>
      <c r="D610" t="s">
        <v>543</v>
      </c>
      <c r="K610"/>
    </row>
    <row r="611" spans="1:11">
      <c r="A611" t="s">
        <v>3308</v>
      </c>
      <c r="B611" t="s">
        <v>562</v>
      </c>
      <c r="C611" t="s">
        <v>534</v>
      </c>
      <c r="D611" t="s">
        <v>543</v>
      </c>
      <c r="K611"/>
    </row>
    <row r="612" spans="1:11">
      <c r="A612" t="s">
        <v>3309</v>
      </c>
      <c r="B612" t="s">
        <v>562</v>
      </c>
      <c r="C612" t="s">
        <v>534</v>
      </c>
      <c r="D612" t="s">
        <v>543</v>
      </c>
      <c r="K612"/>
    </row>
    <row r="613" spans="1:11">
      <c r="A613" t="s">
        <v>3310</v>
      </c>
      <c r="B613" t="s">
        <v>562</v>
      </c>
      <c r="C613" t="s">
        <v>541</v>
      </c>
      <c r="D613" t="s">
        <v>544</v>
      </c>
      <c r="K613"/>
    </row>
    <row r="614" spans="1:11">
      <c r="A614" t="s">
        <v>3311</v>
      </c>
      <c r="B614" t="s">
        <v>562</v>
      </c>
      <c r="C614" t="s">
        <v>534</v>
      </c>
      <c r="D614" t="s">
        <v>543</v>
      </c>
      <c r="K614"/>
    </row>
    <row r="615" spans="1:11">
      <c r="A615" t="s">
        <v>3312</v>
      </c>
      <c r="B615" t="s">
        <v>562</v>
      </c>
      <c r="C615" t="s">
        <v>534</v>
      </c>
      <c r="D615" t="s">
        <v>543</v>
      </c>
      <c r="K615"/>
    </row>
    <row r="616" spans="1:11">
      <c r="A616" t="s">
        <v>3313</v>
      </c>
      <c r="B616" t="s">
        <v>562</v>
      </c>
      <c r="C616" t="s">
        <v>534</v>
      </c>
      <c r="D616" t="s">
        <v>543</v>
      </c>
      <c r="K616"/>
    </row>
    <row r="617" spans="1:11">
      <c r="A617" t="s">
        <v>3314</v>
      </c>
      <c r="B617" t="s">
        <v>562</v>
      </c>
      <c r="C617" t="s">
        <v>534</v>
      </c>
      <c r="D617" t="s">
        <v>543</v>
      </c>
      <c r="K617"/>
    </row>
    <row r="618" spans="1:11">
      <c r="A618" t="s">
        <v>3315</v>
      </c>
      <c r="B618" t="s">
        <v>563</v>
      </c>
      <c r="C618" t="s">
        <v>538</v>
      </c>
      <c r="D618" t="s">
        <v>547</v>
      </c>
      <c r="K618"/>
    </row>
    <row r="619" spans="1:11">
      <c r="A619" t="s">
        <v>3316</v>
      </c>
      <c r="B619" t="s">
        <v>563</v>
      </c>
      <c r="C619" t="s">
        <v>538</v>
      </c>
      <c r="D619" t="s">
        <v>547</v>
      </c>
      <c r="K619"/>
    </row>
    <row r="620" spans="1:11">
      <c r="A620" t="s">
        <v>3317</v>
      </c>
      <c r="B620" t="s">
        <v>562</v>
      </c>
      <c r="C620" t="s">
        <v>538</v>
      </c>
      <c r="D620" t="s">
        <v>543</v>
      </c>
      <c r="K620"/>
    </row>
    <row r="621" spans="1:11">
      <c r="A621" t="s">
        <v>3318</v>
      </c>
      <c r="B621" t="s">
        <v>562</v>
      </c>
      <c r="C621" t="s">
        <v>538</v>
      </c>
      <c r="D621" t="s">
        <v>543</v>
      </c>
      <c r="K621"/>
    </row>
    <row r="622" spans="1:11">
      <c r="A622" t="s">
        <v>3319</v>
      </c>
      <c r="B622" t="s">
        <v>562</v>
      </c>
      <c r="C622" t="s">
        <v>538</v>
      </c>
      <c r="D622" t="s">
        <v>543</v>
      </c>
      <c r="K622"/>
    </row>
    <row r="623" spans="1:11">
      <c r="A623" t="s">
        <v>3561</v>
      </c>
      <c r="B623" t="s">
        <v>562</v>
      </c>
      <c r="C623" t="s">
        <v>538</v>
      </c>
      <c r="D623" t="s">
        <v>543</v>
      </c>
      <c r="K623"/>
    </row>
    <row r="624" spans="1:11">
      <c r="A624" t="s">
        <v>3321</v>
      </c>
      <c r="B624" t="s">
        <v>562</v>
      </c>
      <c r="C624" t="s">
        <v>538</v>
      </c>
      <c r="D624" t="s">
        <v>543</v>
      </c>
      <c r="K624"/>
    </row>
    <row r="625" spans="1:11">
      <c r="A625" t="s">
        <v>3322</v>
      </c>
      <c r="B625" t="s">
        <v>562</v>
      </c>
      <c r="C625" t="s">
        <v>538</v>
      </c>
      <c r="D625" t="s">
        <v>543</v>
      </c>
      <c r="K625"/>
    </row>
    <row r="626" spans="1:11">
      <c r="A626" t="s">
        <v>3323</v>
      </c>
      <c r="B626" t="s">
        <v>562</v>
      </c>
      <c r="C626" t="s">
        <v>538</v>
      </c>
      <c r="D626" t="s">
        <v>543</v>
      </c>
      <c r="K626"/>
    </row>
    <row r="627" spans="1:11">
      <c r="A627" t="s">
        <v>3324</v>
      </c>
      <c r="B627" t="s">
        <v>563</v>
      </c>
      <c r="C627" t="s">
        <v>538</v>
      </c>
      <c r="D627" t="s">
        <v>547</v>
      </c>
      <c r="K627"/>
    </row>
    <row r="628" spans="1:11">
      <c r="A628" t="s">
        <v>3325</v>
      </c>
      <c r="B628" t="s">
        <v>563</v>
      </c>
      <c r="C628" t="s">
        <v>538</v>
      </c>
      <c r="D628" t="s">
        <v>547</v>
      </c>
      <c r="K628"/>
    </row>
    <row r="629" spans="1:11">
      <c r="A629" t="s">
        <v>3326</v>
      </c>
      <c r="B629" t="s">
        <v>562</v>
      </c>
      <c r="C629" t="s">
        <v>541</v>
      </c>
      <c r="D629" t="s">
        <v>547</v>
      </c>
      <c r="K629"/>
    </row>
    <row r="630" spans="1:11">
      <c r="A630" t="s">
        <v>3327</v>
      </c>
      <c r="B630" t="s">
        <v>562</v>
      </c>
      <c r="C630" t="s">
        <v>541</v>
      </c>
      <c r="D630" t="s">
        <v>547</v>
      </c>
      <c r="K630"/>
    </row>
    <row r="631" spans="1:11">
      <c r="A631" t="s">
        <v>3328</v>
      </c>
      <c r="B631" t="s">
        <v>562</v>
      </c>
      <c r="C631" t="s">
        <v>534</v>
      </c>
      <c r="D631" t="s">
        <v>543</v>
      </c>
      <c r="K631"/>
    </row>
    <row r="632" spans="1:11">
      <c r="A632" t="s">
        <v>3329</v>
      </c>
      <c r="B632" t="s">
        <v>562</v>
      </c>
      <c r="C632" t="s">
        <v>535</v>
      </c>
      <c r="D632" t="s">
        <v>543</v>
      </c>
      <c r="K632"/>
    </row>
    <row r="633" spans="1:11">
      <c r="A633" t="s">
        <v>3330</v>
      </c>
      <c r="B633" t="s">
        <v>562</v>
      </c>
      <c r="C633" t="s">
        <v>534</v>
      </c>
      <c r="D633" t="s">
        <v>543</v>
      </c>
      <c r="K633"/>
    </row>
    <row r="634" spans="1:11">
      <c r="A634" t="s">
        <v>3331</v>
      </c>
      <c r="B634" t="s">
        <v>562</v>
      </c>
      <c r="C634" t="s">
        <v>535</v>
      </c>
      <c r="D634" t="s">
        <v>543</v>
      </c>
      <c r="K634"/>
    </row>
    <row r="635" spans="1:11">
      <c r="A635" t="s">
        <v>3332</v>
      </c>
      <c r="B635" t="s">
        <v>562</v>
      </c>
      <c r="C635" t="s">
        <v>534</v>
      </c>
      <c r="D635" t="s">
        <v>543</v>
      </c>
      <c r="K635"/>
    </row>
    <row r="636" spans="1:11">
      <c r="A636" t="s">
        <v>3333</v>
      </c>
      <c r="B636" t="s">
        <v>562</v>
      </c>
      <c r="C636" t="s">
        <v>541</v>
      </c>
      <c r="D636" t="s">
        <v>547</v>
      </c>
      <c r="K636"/>
    </row>
    <row r="637" spans="1:11">
      <c r="A637" t="s">
        <v>3334</v>
      </c>
      <c r="B637" t="s">
        <v>562</v>
      </c>
      <c r="C637" t="s">
        <v>534</v>
      </c>
      <c r="D637" t="s">
        <v>543</v>
      </c>
      <c r="K637"/>
    </row>
    <row r="638" spans="1:11">
      <c r="A638" t="s">
        <v>3335</v>
      </c>
      <c r="B638" t="s">
        <v>562</v>
      </c>
      <c r="C638" t="s">
        <v>534</v>
      </c>
      <c r="D638" t="s">
        <v>543</v>
      </c>
      <c r="K638"/>
    </row>
    <row r="639" spans="1:11">
      <c r="A639" t="s">
        <v>3336</v>
      </c>
      <c r="B639" t="s">
        <v>562</v>
      </c>
      <c r="C639" t="s">
        <v>534</v>
      </c>
      <c r="D639" t="s">
        <v>543</v>
      </c>
      <c r="K639"/>
    </row>
    <row r="640" spans="1:11">
      <c r="A640" t="s">
        <v>3337</v>
      </c>
      <c r="B640" t="s">
        <v>562</v>
      </c>
      <c r="C640" t="s">
        <v>534</v>
      </c>
      <c r="D640" t="s">
        <v>543</v>
      </c>
      <c r="K640"/>
    </row>
    <row r="641" spans="1:11">
      <c r="A641" t="s">
        <v>3338</v>
      </c>
      <c r="B641" t="s">
        <v>562</v>
      </c>
      <c r="C641" t="s">
        <v>541</v>
      </c>
      <c r="D641" t="s">
        <v>547</v>
      </c>
      <c r="K641"/>
    </row>
    <row r="642" spans="1:11">
      <c r="A642" t="s">
        <v>3339</v>
      </c>
      <c r="B642" t="s">
        <v>562</v>
      </c>
      <c r="C642" t="s">
        <v>534</v>
      </c>
      <c r="D642" t="s">
        <v>543</v>
      </c>
      <c r="K642"/>
    </row>
    <row r="643" spans="1:11">
      <c r="A643" t="s">
        <v>3340</v>
      </c>
      <c r="B643" t="s">
        <v>561</v>
      </c>
      <c r="C643" t="s">
        <v>534</v>
      </c>
      <c r="D643" t="s">
        <v>544</v>
      </c>
      <c r="K643"/>
    </row>
    <row r="644" spans="1:11">
      <c r="A644" t="s">
        <v>3341</v>
      </c>
      <c r="B644" t="s">
        <v>561</v>
      </c>
      <c r="C644" t="s">
        <v>534</v>
      </c>
      <c r="D644" t="s">
        <v>544</v>
      </c>
      <c r="K644"/>
    </row>
    <row r="645" spans="1:11">
      <c r="A645" t="s">
        <v>3342</v>
      </c>
      <c r="B645" t="s">
        <v>563</v>
      </c>
      <c r="C645" t="s">
        <v>538</v>
      </c>
      <c r="D645" t="s">
        <v>547</v>
      </c>
      <c r="K645"/>
    </row>
    <row r="646" spans="1:11">
      <c r="A646" t="s">
        <v>3343</v>
      </c>
      <c r="B646" t="s">
        <v>562</v>
      </c>
      <c r="C646" t="s">
        <v>538</v>
      </c>
      <c r="D646" t="s">
        <v>548</v>
      </c>
      <c r="K646"/>
    </row>
    <row r="647" spans="1:11">
      <c r="A647" t="s">
        <v>3344</v>
      </c>
      <c r="B647" t="s">
        <v>562</v>
      </c>
      <c r="C647" t="s">
        <v>538</v>
      </c>
      <c r="D647" t="s">
        <v>543</v>
      </c>
      <c r="K647"/>
    </row>
    <row r="648" spans="1:11">
      <c r="A648" t="s">
        <v>3345</v>
      </c>
      <c r="B648" t="s">
        <v>563</v>
      </c>
      <c r="C648" t="s">
        <v>538</v>
      </c>
      <c r="D648" t="s">
        <v>547</v>
      </c>
      <c r="K648"/>
    </row>
    <row r="649" spans="1:11">
      <c r="A649" t="s">
        <v>83</v>
      </c>
      <c r="B649" t="s">
        <v>561</v>
      </c>
      <c r="C649" t="s">
        <v>534</v>
      </c>
      <c r="D649" t="s">
        <v>548</v>
      </c>
      <c r="K649"/>
    </row>
    <row r="650" spans="1:11">
      <c r="A650" t="s">
        <v>82</v>
      </c>
      <c r="B650" t="s">
        <v>561</v>
      </c>
      <c r="C650" t="s">
        <v>534</v>
      </c>
      <c r="D650" t="s">
        <v>548</v>
      </c>
      <c r="K650"/>
    </row>
    <row r="651" spans="1:11">
      <c r="A651" t="s">
        <v>84</v>
      </c>
      <c r="B651" t="s">
        <v>561</v>
      </c>
      <c r="C651" t="s">
        <v>534</v>
      </c>
      <c r="D651" t="s">
        <v>548</v>
      </c>
      <c r="K651"/>
    </row>
    <row r="652" spans="1:11">
      <c r="A652" t="s">
        <v>85</v>
      </c>
      <c r="B652" t="s">
        <v>561</v>
      </c>
      <c r="C652" t="s">
        <v>534</v>
      </c>
      <c r="D652" t="s">
        <v>548</v>
      </c>
      <c r="K652"/>
    </row>
    <row r="653" spans="1:11">
      <c r="A653" t="s">
        <v>86</v>
      </c>
      <c r="B653" t="s">
        <v>561</v>
      </c>
      <c r="C653" t="s">
        <v>534</v>
      </c>
      <c r="D653" t="s">
        <v>548</v>
      </c>
      <c r="K653"/>
    </row>
    <row r="654" spans="1:11">
      <c r="A654" t="s">
        <v>87</v>
      </c>
      <c r="B654" t="s">
        <v>561</v>
      </c>
      <c r="C654" t="s">
        <v>534</v>
      </c>
      <c r="D654" t="s">
        <v>548</v>
      </c>
      <c r="K654"/>
    </row>
    <row r="655" spans="1:11">
      <c r="A655" t="s">
        <v>88</v>
      </c>
      <c r="B655" t="s">
        <v>561</v>
      </c>
      <c r="C655" t="s">
        <v>540</v>
      </c>
      <c r="D655" t="s">
        <v>551</v>
      </c>
      <c r="K655"/>
    </row>
    <row r="656" spans="1:11">
      <c r="A656" t="s">
        <v>89</v>
      </c>
      <c r="B656" t="s">
        <v>561</v>
      </c>
      <c r="C656" t="s">
        <v>540</v>
      </c>
      <c r="D656" t="s">
        <v>545</v>
      </c>
      <c r="K656"/>
    </row>
    <row r="657" spans="1:11">
      <c r="A657" t="s">
        <v>90</v>
      </c>
      <c r="B657" t="s">
        <v>561</v>
      </c>
      <c r="C657" t="s">
        <v>540</v>
      </c>
      <c r="D657" t="s">
        <v>552</v>
      </c>
      <c r="K657"/>
    </row>
    <row r="658" spans="1:11">
      <c r="A658" t="s">
        <v>91</v>
      </c>
      <c r="B658" t="s">
        <v>561</v>
      </c>
      <c r="C658" t="s">
        <v>540</v>
      </c>
      <c r="D658" t="s">
        <v>559</v>
      </c>
      <c r="K658"/>
    </row>
    <row r="659" spans="1:11">
      <c r="A659" t="s">
        <v>162</v>
      </c>
      <c r="B659" t="s">
        <v>561</v>
      </c>
      <c r="C659" t="s">
        <v>540</v>
      </c>
      <c r="D659" t="s">
        <v>551</v>
      </c>
      <c r="K659"/>
    </row>
    <row r="660" spans="1:11">
      <c r="A660" t="s">
        <v>163</v>
      </c>
      <c r="B660" t="s">
        <v>561</v>
      </c>
      <c r="C660" t="s">
        <v>540</v>
      </c>
      <c r="D660" t="s">
        <v>545</v>
      </c>
      <c r="K660"/>
    </row>
    <row r="661" spans="1:11">
      <c r="A661" t="s">
        <v>164</v>
      </c>
      <c r="B661" t="s">
        <v>561</v>
      </c>
      <c r="C661" t="s">
        <v>540</v>
      </c>
      <c r="D661" t="s">
        <v>558</v>
      </c>
      <c r="K661"/>
    </row>
    <row r="662" spans="1:11">
      <c r="A662" t="s">
        <v>165</v>
      </c>
      <c r="B662" t="s">
        <v>561</v>
      </c>
      <c r="C662" t="s">
        <v>540</v>
      </c>
      <c r="D662" t="s">
        <v>553</v>
      </c>
      <c r="K662"/>
    </row>
    <row r="663" spans="1:11">
      <c r="A663" t="s">
        <v>166</v>
      </c>
      <c r="B663" t="s">
        <v>561</v>
      </c>
      <c r="C663" t="s">
        <v>540</v>
      </c>
      <c r="D663" t="s">
        <v>554</v>
      </c>
      <c r="K663"/>
    </row>
    <row r="664" spans="1:11">
      <c r="A664" t="s">
        <v>167</v>
      </c>
      <c r="B664" t="s">
        <v>561</v>
      </c>
      <c r="C664" t="s">
        <v>540</v>
      </c>
      <c r="D664" t="s">
        <v>544</v>
      </c>
      <c r="K664"/>
    </row>
    <row r="665" spans="1:11">
      <c r="A665" t="s">
        <v>168</v>
      </c>
      <c r="B665" t="s">
        <v>561</v>
      </c>
      <c r="C665" t="s">
        <v>540</v>
      </c>
      <c r="D665" t="s">
        <v>550</v>
      </c>
      <c r="K665"/>
    </row>
    <row r="666" spans="1:11">
      <c r="A666" t="s">
        <v>169</v>
      </c>
      <c r="B666" t="s">
        <v>561</v>
      </c>
      <c r="C666" t="s">
        <v>540</v>
      </c>
      <c r="D666" t="s">
        <v>551</v>
      </c>
      <c r="K666"/>
    </row>
    <row r="667" spans="1:11">
      <c r="A667" t="s">
        <v>170</v>
      </c>
      <c r="B667" t="s">
        <v>561</v>
      </c>
      <c r="C667" t="s">
        <v>540</v>
      </c>
      <c r="D667" t="s">
        <v>545</v>
      </c>
      <c r="K667"/>
    </row>
    <row r="668" spans="1:11">
      <c r="A668" t="s">
        <v>171</v>
      </c>
      <c r="B668" t="s">
        <v>561</v>
      </c>
      <c r="C668" t="s">
        <v>540</v>
      </c>
      <c r="D668" t="s">
        <v>555</v>
      </c>
      <c r="K668"/>
    </row>
    <row r="669" spans="1:11">
      <c r="A669" t="s">
        <v>172</v>
      </c>
      <c r="B669" t="s">
        <v>561</v>
      </c>
      <c r="C669" t="s">
        <v>540</v>
      </c>
      <c r="D669" t="s">
        <v>552</v>
      </c>
      <c r="K669"/>
    </row>
    <row r="670" spans="1:11">
      <c r="A670" t="s">
        <v>173</v>
      </c>
      <c r="B670" t="s">
        <v>561</v>
      </c>
      <c r="C670" t="s">
        <v>540</v>
      </c>
      <c r="D670" t="s">
        <v>554</v>
      </c>
      <c r="K670"/>
    </row>
    <row r="671" spans="1:11">
      <c r="A671" t="s">
        <v>174</v>
      </c>
      <c r="B671" t="s">
        <v>561</v>
      </c>
      <c r="C671" t="s">
        <v>540</v>
      </c>
      <c r="D671" t="s">
        <v>544</v>
      </c>
      <c r="K671"/>
    </row>
    <row r="672" spans="1:11">
      <c r="A672" t="s">
        <v>175</v>
      </c>
      <c r="B672" t="s">
        <v>561</v>
      </c>
      <c r="C672" t="s">
        <v>540</v>
      </c>
      <c r="D672" t="s">
        <v>544</v>
      </c>
      <c r="K672"/>
    </row>
    <row r="673" spans="1:11">
      <c r="A673" t="s">
        <v>176</v>
      </c>
      <c r="B673" t="s">
        <v>561</v>
      </c>
      <c r="C673" t="s">
        <v>540</v>
      </c>
      <c r="D673" t="s">
        <v>550</v>
      </c>
      <c r="K673"/>
    </row>
    <row r="674" spans="1:11">
      <c r="A674" t="s">
        <v>177</v>
      </c>
      <c r="B674" t="s">
        <v>561</v>
      </c>
      <c r="C674" t="s">
        <v>540</v>
      </c>
      <c r="D674" t="s">
        <v>551</v>
      </c>
      <c r="K674"/>
    </row>
    <row r="675" spans="1:11">
      <c r="A675" t="s">
        <v>178</v>
      </c>
      <c r="B675" t="s">
        <v>561</v>
      </c>
      <c r="C675" t="s">
        <v>540</v>
      </c>
      <c r="D675" t="s">
        <v>557</v>
      </c>
      <c r="K675"/>
    </row>
    <row r="676" spans="1:11">
      <c r="A676" t="s">
        <v>179</v>
      </c>
      <c r="B676" t="s">
        <v>561</v>
      </c>
      <c r="C676" t="s">
        <v>540</v>
      </c>
      <c r="D676" t="s">
        <v>545</v>
      </c>
      <c r="K676"/>
    </row>
    <row r="677" spans="1:11">
      <c r="A677" t="s">
        <v>180</v>
      </c>
      <c r="B677" t="s">
        <v>561</v>
      </c>
      <c r="C677" t="s">
        <v>540</v>
      </c>
      <c r="D677" t="s">
        <v>555</v>
      </c>
      <c r="K677"/>
    </row>
    <row r="678" spans="1:11">
      <c r="A678" t="s">
        <v>181</v>
      </c>
      <c r="B678" t="s">
        <v>561</v>
      </c>
      <c r="C678" t="s">
        <v>540</v>
      </c>
      <c r="D678" t="s">
        <v>552</v>
      </c>
      <c r="K678"/>
    </row>
    <row r="679" spans="1:11">
      <c r="A679" t="s">
        <v>182</v>
      </c>
      <c r="B679" t="s">
        <v>561</v>
      </c>
      <c r="C679" t="s">
        <v>540</v>
      </c>
      <c r="D679" t="s">
        <v>556</v>
      </c>
      <c r="K679"/>
    </row>
    <row r="680" spans="1:11">
      <c r="A680" t="s">
        <v>183</v>
      </c>
      <c r="B680" t="s">
        <v>561</v>
      </c>
      <c r="C680" t="s">
        <v>540</v>
      </c>
      <c r="D680" t="s">
        <v>544</v>
      </c>
      <c r="K680"/>
    </row>
    <row r="681" spans="1:11">
      <c r="A681" t="s">
        <v>184</v>
      </c>
      <c r="B681" t="s">
        <v>561</v>
      </c>
      <c r="C681" t="s">
        <v>540</v>
      </c>
      <c r="D681" t="s">
        <v>544</v>
      </c>
      <c r="K681"/>
    </row>
    <row r="682" spans="1:11">
      <c r="A682" t="s">
        <v>185</v>
      </c>
      <c r="B682" t="s">
        <v>561</v>
      </c>
      <c r="C682" t="s">
        <v>540</v>
      </c>
      <c r="D682" t="s">
        <v>550</v>
      </c>
      <c r="K682"/>
    </row>
    <row r="683" spans="1:11">
      <c r="A683" t="s">
        <v>186</v>
      </c>
      <c r="B683" t="s">
        <v>561</v>
      </c>
      <c r="C683" t="s">
        <v>540</v>
      </c>
      <c r="D683" t="s">
        <v>550</v>
      </c>
      <c r="K683"/>
    </row>
    <row r="684" spans="1:11">
      <c r="A684" t="s">
        <v>187</v>
      </c>
      <c r="B684" t="s">
        <v>561</v>
      </c>
      <c r="C684" t="s">
        <v>540</v>
      </c>
      <c r="D684" t="s">
        <v>544</v>
      </c>
      <c r="K684"/>
    </row>
    <row r="685" spans="1:11">
      <c r="A685" t="s">
        <v>188</v>
      </c>
      <c r="B685" t="s">
        <v>561</v>
      </c>
      <c r="C685" t="s">
        <v>540</v>
      </c>
      <c r="D685" t="s">
        <v>548</v>
      </c>
      <c r="K685"/>
    </row>
    <row r="686" spans="1:11">
      <c r="A686" t="s">
        <v>189</v>
      </c>
      <c r="B686" t="s">
        <v>561</v>
      </c>
      <c r="C686" t="s">
        <v>540</v>
      </c>
      <c r="D686" t="s">
        <v>546</v>
      </c>
      <c r="K686"/>
    </row>
    <row r="687" spans="1:11">
      <c r="A687" t="s">
        <v>190</v>
      </c>
      <c r="B687" t="s">
        <v>561</v>
      </c>
      <c r="C687" t="s">
        <v>540</v>
      </c>
      <c r="D687" t="s">
        <v>551</v>
      </c>
      <c r="K687"/>
    </row>
    <row r="688" spans="1:11">
      <c r="A688" t="s">
        <v>191</v>
      </c>
      <c r="B688" t="s">
        <v>561</v>
      </c>
      <c r="C688" t="s">
        <v>540</v>
      </c>
      <c r="D688" t="s">
        <v>557</v>
      </c>
      <c r="K688"/>
    </row>
    <row r="689" spans="1:11">
      <c r="A689" t="s">
        <v>192</v>
      </c>
      <c r="B689" t="s">
        <v>561</v>
      </c>
      <c r="C689" t="s">
        <v>540</v>
      </c>
      <c r="D689" t="s">
        <v>545</v>
      </c>
      <c r="K689"/>
    </row>
    <row r="690" spans="1:11">
      <c r="A690" t="s">
        <v>193</v>
      </c>
      <c r="B690" t="s">
        <v>561</v>
      </c>
      <c r="C690" t="s">
        <v>540</v>
      </c>
      <c r="D690" t="s">
        <v>547</v>
      </c>
      <c r="K690"/>
    </row>
    <row r="691" spans="1:11">
      <c r="A691" t="s">
        <v>194</v>
      </c>
      <c r="B691" t="s">
        <v>561</v>
      </c>
      <c r="C691" t="s">
        <v>540</v>
      </c>
      <c r="D691" t="s">
        <v>552</v>
      </c>
      <c r="K691"/>
    </row>
    <row r="692" spans="1:11">
      <c r="A692" t="s">
        <v>195</v>
      </c>
      <c r="B692" t="s">
        <v>561</v>
      </c>
      <c r="C692" t="s">
        <v>540</v>
      </c>
      <c r="D692" t="s">
        <v>556</v>
      </c>
      <c r="K692"/>
    </row>
    <row r="693" spans="1:11">
      <c r="A693" t="s">
        <v>196</v>
      </c>
      <c r="B693" t="s">
        <v>561</v>
      </c>
      <c r="C693" t="s">
        <v>540</v>
      </c>
      <c r="D693" t="s">
        <v>544</v>
      </c>
      <c r="K693"/>
    </row>
    <row r="694" spans="1:11">
      <c r="A694" t="s">
        <v>197</v>
      </c>
      <c r="B694" t="s">
        <v>561</v>
      </c>
      <c r="C694" t="s">
        <v>540</v>
      </c>
      <c r="D694" t="s">
        <v>544</v>
      </c>
      <c r="K694"/>
    </row>
    <row r="695" spans="1:11">
      <c r="A695" t="s">
        <v>198</v>
      </c>
      <c r="B695" t="s">
        <v>561</v>
      </c>
      <c r="C695" t="s">
        <v>540</v>
      </c>
      <c r="D695" t="s">
        <v>550</v>
      </c>
      <c r="K695"/>
    </row>
    <row r="696" spans="1:11">
      <c r="A696" t="s">
        <v>199</v>
      </c>
      <c r="B696" t="s">
        <v>561</v>
      </c>
      <c r="C696" t="s">
        <v>540</v>
      </c>
      <c r="D696" t="s">
        <v>550</v>
      </c>
      <c r="K696"/>
    </row>
    <row r="697" spans="1:11">
      <c r="A697" t="s">
        <v>200</v>
      </c>
      <c r="B697" t="s">
        <v>561</v>
      </c>
      <c r="C697" t="s">
        <v>540</v>
      </c>
      <c r="D697" t="s">
        <v>544</v>
      </c>
      <c r="K697"/>
    </row>
    <row r="698" spans="1:11">
      <c r="A698" t="s">
        <v>201</v>
      </c>
      <c r="B698" t="s">
        <v>561</v>
      </c>
      <c r="C698" t="s">
        <v>540</v>
      </c>
      <c r="D698" t="s">
        <v>548</v>
      </c>
      <c r="K698"/>
    </row>
    <row r="699" spans="1:11">
      <c r="A699" t="s">
        <v>202</v>
      </c>
      <c r="B699" t="s">
        <v>561</v>
      </c>
      <c r="C699" t="s">
        <v>540</v>
      </c>
      <c r="D699" t="s">
        <v>546</v>
      </c>
      <c r="K699"/>
    </row>
    <row r="700" spans="1:11">
      <c r="A700" t="s">
        <v>203</v>
      </c>
      <c r="B700" t="s">
        <v>561</v>
      </c>
      <c r="C700" t="s">
        <v>540</v>
      </c>
      <c r="D700" t="s">
        <v>549</v>
      </c>
      <c r="K700"/>
    </row>
    <row r="701" spans="1:11">
      <c r="A701" t="s">
        <v>204</v>
      </c>
      <c r="B701" t="s">
        <v>561</v>
      </c>
      <c r="C701" t="s">
        <v>539</v>
      </c>
      <c r="D701" t="s">
        <v>543</v>
      </c>
      <c r="K701"/>
    </row>
    <row r="702" spans="1:11">
      <c r="A702" t="s">
        <v>205</v>
      </c>
      <c r="B702" t="s">
        <v>561</v>
      </c>
      <c r="C702" t="s">
        <v>540</v>
      </c>
      <c r="D702" t="s">
        <v>551</v>
      </c>
      <c r="K702"/>
    </row>
    <row r="703" spans="1:11">
      <c r="A703" t="s">
        <v>206</v>
      </c>
      <c r="B703" t="s">
        <v>561</v>
      </c>
      <c r="C703" t="s">
        <v>540</v>
      </c>
      <c r="D703" t="s">
        <v>557</v>
      </c>
      <c r="K703"/>
    </row>
    <row r="704" spans="1:11">
      <c r="A704" t="s">
        <v>207</v>
      </c>
      <c r="B704" t="s">
        <v>561</v>
      </c>
      <c r="C704" t="s">
        <v>540</v>
      </c>
      <c r="D704" t="s">
        <v>545</v>
      </c>
      <c r="K704"/>
    </row>
    <row r="705" spans="1:11">
      <c r="A705" t="s">
        <v>208</v>
      </c>
      <c r="B705" t="s">
        <v>561</v>
      </c>
      <c r="C705" t="s">
        <v>540</v>
      </c>
      <c r="D705" t="s">
        <v>547</v>
      </c>
      <c r="K705"/>
    </row>
    <row r="706" spans="1:11">
      <c r="A706" t="s">
        <v>209</v>
      </c>
      <c r="B706" t="s">
        <v>561</v>
      </c>
      <c r="C706" t="s">
        <v>540</v>
      </c>
      <c r="D706" t="s">
        <v>552</v>
      </c>
      <c r="K706"/>
    </row>
    <row r="707" spans="1:11">
      <c r="A707" t="s">
        <v>210</v>
      </c>
      <c r="B707" t="s">
        <v>561</v>
      </c>
      <c r="C707" t="s">
        <v>540</v>
      </c>
      <c r="D707" t="s">
        <v>556</v>
      </c>
      <c r="K707"/>
    </row>
    <row r="708" spans="1:11">
      <c r="A708" t="s">
        <v>211</v>
      </c>
      <c r="B708" t="s">
        <v>561</v>
      </c>
      <c r="C708" t="s">
        <v>540</v>
      </c>
      <c r="D708" t="s">
        <v>544</v>
      </c>
      <c r="K708"/>
    </row>
    <row r="709" spans="1:11">
      <c r="A709" t="s">
        <v>212</v>
      </c>
      <c r="B709" t="s">
        <v>561</v>
      </c>
      <c r="C709" t="s">
        <v>540</v>
      </c>
      <c r="D709" t="s">
        <v>544</v>
      </c>
      <c r="K709"/>
    </row>
    <row r="710" spans="1:11">
      <c r="A710" t="s">
        <v>213</v>
      </c>
      <c r="B710" t="s">
        <v>561</v>
      </c>
      <c r="C710" t="s">
        <v>540</v>
      </c>
      <c r="D710" t="s">
        <v>550</v>
      </c>
      <c r="K710"/>
    </row>
    <row r="711" spans="1:11">
      <c r="A711" t="s">
        <v>214</v>
      </c>
      <c r="B711" t="s">
        <v>561</v>
      </c>
      <c r="C711" t="s">
        <v>540</v>
      </c>
      <c r="D711" t="s">
        <v>550</v>
      </c>
      <c r="K711"/>
    </row>
    <row r="712" spans="1:11">
      <c r="A712" t="s">
        <v>215</v>
      </c>
      <c r="B712" t="s">
        <v>561</v>
      </c>
      <c r="C712" t="s">
        <v>540</v>
      </c>
      <c r="D712" t="s">
        <v>544</v>
      </c>
      <c r="K712"/>
    </row>
    <row r="713" spans="1:11">
      <c r="A713" t="s">
        <v>216</v>
      </c>
      <c r="B713" t="s">
        <v>561</v>
      </c>
      <c r="C713" t="s">
        <v>540</v>
      </c>
      <c r="D713" t="s">
        <v>548</v>
      </c>
      <c r="K713"/>
    </row>
    <row r="714" spans="1:11">
      <c r="A714" t="s">
        <v>217</v>
      </c>
      <c r="B714" t="s">
        <v>561</v>
      </c>
      <c r="C714" t="s">
        <v>540</v>
      </c>
      <c r="D714" t="s">
        <v>546</v>
      </c>
      <c r="K714"/>
    </row>
    <row r="715" spans="1:11">
      <c r="A715" t="s">
        <v>218</v>
      </c>
      <c r="B715" t="s">
        <v>561</v>
      </c>
      <c r="C715" t="s">
        <v>540</v>
      </c>
      <c r="D715" t="s">
        <v>549</v>
      </c>
      <c r="K715"/>
    </row>
    <row r="716" spans="1:11">
      <c r="A716" t="s">
        <v>219</v>
      </c>
      <c r="B716" t="s">
        <v>561</v>
      </c>
      <c r="C716" t="s">
        <v>539</v>
      </c>
      <c r="D716" t="s">
        <v>543</v>
      </c>
      <c r="K716"/>
    </row>
    <row r="717" spans="1:11">
      <c r="A717" t="s">
        <v>234</v>
      </c>
      <c r="B717" t="s">
        <v>561</v>
      </c>
      <c r="C717" t="s">
        <v>540</v>
      </c>
      <c r="D717" t="s">
        <v>564</v>
      </c>
      <c r="K717"/>
    </row>
    <row r="718" spans="1:11">
      <c r="A718" t="s">
        <v>235</v>
      </c>
      <c r="B718" t="s">
        <v>561</v>
      </c>
      <c r="C718" t="s">
        <v>540</v>
      </c>
      <c r="D718" t="s">
        <v>564</v>
      </c>
      <c r="K718"/>
    </row>
    <row r="719" spans="1:11">
      <c r="A719" t="s">
        <v>92</v>
      </c>
      <c r="B719" t="s">
        <v>561</v>
      </c>
      <c r="C719" t="s">
        <v>540</v>
      </c>
      <c r="D719" t="s">
        <v>543</v>
      </c>
      <c r="K719"/>
    </row>
    <row r="720" spans="1:11">
      <c r="A720" t="s">
        <v>93</v>
      </c>
      <c r="B720" t="s">
        <v>561</v>
      </c>
      <c r="C720" t="s">
        <v>540</v>
      </c>
      <c r="D720" t="s">
        <v>543</v>
      </c>
      <c r="K720"/>
    </row>
    <row r="721" spans="1:11">
      <c r="A721" t="s">
        <v>94</v>
      </c>
      <c r="B721" t="s">
        <v>561</v>
      </c>
      <c r="C721" t="s">
        <v>540</v>
      </c>
      <c r="D721" t="s">
        <v>543</v>
      </c>
      <c r="K721"/>
    </row>
    <row r="722" spans="1:11">
      <c r="A722" t="s">
        <v>95</v>
      </c>
      <c r="B722" t="s">
        <v>561</v>
      </c>
      <c r="C722" t="s">
        <v>540</v>
      </c>
      <c r="D722" t="s">
        <v>543</v>
      </c>
      <c r="K722"/>
    </row>
    <row r="723" spans="1:11">
      <c r="A723" t="s">
        <v>96</v>
      </c>
      <c r="B723" t="s">
        <v>561</v>
      </c>
      <c r="C723" t="s">
        <v>540</v>
      </c>
      <c r="D723" t="s">
        <v>543</v>
      </c>
      <c r="K723"/>
    </row>
    <row r="724" spans="1:11">
      <c r="A724" t="s">
        <v>97</v>
      </c>
      <c r="B724" t="s">
        <v>561</v>
      </c>
      <c r="C724" t="s">
        <v>540</v>
      </c>
      <c r="D724" t="s">
        <v>543</v>
      </c>
      <c r="K724"/>
    </row>
    <row r="725" spans="1:11">
      <c r="A725" t="s">
        <v>98</v>
      </c>
      <c r="B725" t="s">
        <v>561</v>
      </c>
      <c r="C725" t="s">
        <v>540</v>
      </c>
      <c r="D725" t="s">
        <v>543</v>
      </c>
      <c r="K725"/>
    </row>
    <row r="726" spans="1:11">
      <c r="A726" t="s">
        <v>99</v>
      </c>
      <c r="B726" t="s">
        <v>561</v>
      </c>
      <c r="C726" t="s">
        <v>540</v>
      </c>
      <c r="D726" t="s">
        <v>543</v>
      </c>
      <c r="K726"/>
    </row>
    <row r="727" spans="1:11">
      <c r="A727" t="s">
        <v>100</v>
      </c>
      <c r="B727" t="s">
        <v>561</v>
      </c>
      <c r="C727" t="s">
        <v>540</v>
      </c>
      <c r="D727" t="s">
        <v>543</v>
      </c>
      <c r="K727"/>
    </row>
    <row r="728" spans="1:11">
      <c r="A728" t="s">
        <v>101</v>
      </c>
      <c r="B728" t="s">
        <v>561</v>
      </c>
      <c r="C728" t="s">
        <v>540</v>
      </c>
      <c r="D728" t="s">
        <v>3652</v>
      </c>
      <c r="K728"/>
    </row>
    <row r="729" spans="1:11">
      <c r="A729" t="s">
        <v>102</v>
      </c>
      <c r="B729" t="s">
        <v>561</v>
      </c>
      <c r="C729" t="s">
        <v>540</v>
      </c>
      <c r="D729" t="s">
        <v>543</v>
      </c>
      <c r="K729"/>
    </row>
    <row r="730" spans="1:11">
      <c r="A730" t="s">
        <v>103</v>
      </c>
      <c r="B730" t="s">
        <v>561</v>
      </c>
      <c r="C730" t="s">
        <v>540</v>
      </c>
      <c r="D730" t="s">
        <v>543</v>
      </c>
      <c r="K730"/>
    </row>
    <row r="731" spans="1:11">
      <c r="A731" t="s">
        <v>104</v>
      </c>
      <c r="B731" t="s">
        <v>561</v>
      </c>
      <c r="C731" t="s">
        <v>540</v>
      </c>
      <c r="D731" t="s">
        <v>543</v>
      </c>
      <c r="K731"/>
    </row>
    <row r="732" spans="1:11">
      <c r="A732" t="s">
        <v>105</v>
      </c>
      <c r="B732" t="s">
        <v>561</v>
      </c>
      <c r="C732" t="s">
        <v>540</v>
      </c>
      <c r="D732" t="s">
        <v>543</v>
      </c>
      <c r="K732"/>
    </row>
    <row r="733" spans="1:11">
      <c r="A733" t="s">
        <v>106</v>
      </c>
      <c r="B733" t="s">
        <v>561</v>
      </c>
      <c r="C733" t="s">
        <v>540</v>
      </c>
      <c r="D733" t="s">
        <v>543</v>
      </c>
      <c r="K733"/>
    </row>
    <row r="734" spans="1:11">
      <c r="A734" t="s">
        <v>107</v>
      </c>
      <c r="B734" t="s">
        <v>561</v>
      </c>
      <c r="C734" t="s">
        <v>540</v>
      </c>
      <c r="D734" t="s">
        <v>543</v>
      </c>
      <c r="K734"/>
    </row>
    <row r="735" spans="1:11">
      <c r="A735" t="s">
        <v>108</v>
      </c>
      <c r="B735" t="s">
        <v>561</v>
      </c>
      <c r="C735" t="s">
        <v>540</v>
      </c>
      <c r="D735" t="s">
        <v>543</v>
      </c>
      <c r="K735"/>
    </row>
    <row r="736" spans="1:11">
      <c r="A736" t="s">
        <v>109</v>
      </c>
      <c r="B736" t="s">
        <v>561</v>
      </c>
      <c r="C736" t="s">
        <v>540</v>
      </c>
      <c r="D736" t="s">
        <v>543</v>
      </c>
      <c r="K736"/>
    </row>
    <row r="737" spans="1:11">
      <c r="A737" t="s">
        <v>110</v>
      </c>
      <c r="B737" t="s">
        <v>561</v>
      </c>
      <c r="C737" t="s">
        <v>540</v>
      </c>
      <c r="D737" t="s">
        <v>543</v>
      </c>
      <c r="K737"/>
    </row>
    <row r="738" spans="1:11">
      <c r="A738" t="s">
        <v>111</v>
      </c>
      <c r="B738" t="s">
        <v>561</v>
      </c>
      <c r="C738" t="s">
        <v>540</v>
      </c>
      <c r="D738" t="s">
        <v>543</v>
      </c>
      <c r="K738"/>
    </row>
    <row r="739" spans="1:11">
      <c r="A739" t="s">
        <v>112</v>
      </c>
      <c r="B739" t="s">
        <v>561</v>
      </c>
      <c r="C739" t="s">
        <v>540</v>
      </c>
      <c r="D739" t="s">
        <v>543</v>
      </c>
      <c r="K739"/>
    </row>
    <row r="740" spans="1:11">
      <c r="A740" t="s">
        <v>113</v>
      </c>
      <c r="B740" t="s">
        <v>561</v>
      </c>
      <c r="C740" t="s">
        <v>540</v>
      </c>
      <c r="D740" t="s">
        <v>3652</v>
      </c>
      <c r="K740"/>
    </row>
    <row r="741" spans="1:11">
      <c r="A741" t="s">
        <v>114</v>
      </c>
      <c r="B741" t="s">
        <v>561</v>
      </c>
      <c r="C741" t="s">
        <v>540</v>
      </c>
      <c r="D741" t="s">
        <v>543</v>
      </c>
      <c r="K741"/>
    </row>
    <row r="742" spans="1:11">
      <c r="A742" t="s">
        <v>115</v>
      </c>
      <c r="B742" t="s">
        <v>561</v>
      </c>
      <c r="C742" t="s">
        <v>540</v>
      </c>
      <c r="D742" t="s">
        <v>543</v>
      </c>
      <c r="K742"/>
    </row>
    <row r="743" spans="1:11">
      <c r="A743" t="s">
        <v>116</v>
      </c>
      <c r="B743" t="s">
        <v>561</v>
      </c>
      <c r="C743" t="s">
        <v>540</v>
      </c>
      <c r="D743" t="s">
        <v>3652</v>
      </c>
      <c r="K743"/>
    </row>
    <row r="744" spans="1:11">
      <c r="A744" t="s">
        <v>117</v>
      </c>
      <c r="B744" t="s">
        <v>561</v>
      </c>
      <c r="C744" t="s">
        <v>540</v>
      </c>
      <c r="D744" t="s">
        <v>3652</v>
      </c>
      <c r="K744"/>
    </row>
    <row r="745" spans="1:11">
      <c r="A745" t="s">
        <v>118</v>
      </c>
      <c r="B745" t="s">
        <v>561</v>
      </c>
      <c r="C745" t="s">
        <v>540</v>
      </c>
      <c r="D745" t="s">
        <v>3652</v>
      </c>
      <c r="K745"/>
    </row>
    <row r="746" spans="1:11">
      <c r="A746" t="s">
        <v>119</v>
      </c>
      <c r="B746" t="s">
        <v>561</v>
      </c>
      <c r="C746" t="s">
        <v>540</v>
      </c>
      <c r="D746" t="s">
        <v>543</v>
      </c>
      <c r="K746"/>
    </row>
    <row r="747" spans="1:11">
      <c r="A747" t="s">
        <v>120</v>
      </c>
      <c r="B747" t="s">
        <v>561</v>
      </c>
      <c r="C747" t="s">
        <v>540</v>
      </c>
      <c r="D747" t="s">
        <v>543</v>
      </c>
      <c r="K747"/>
    </row>
    <row r="748" spans="1:11">
      <c r="A748" t="s">
        <v>121</v>
      </c>
      <c r="B748" t="s">
        <v>561</v>
      </c>
      <c r="C748" t="s">
        <v>540</v>
      </c>
      <c r="D748" t="s">
        <v>543</v>
      </c>
      <c r="K748"/>
    </row>
    <row r="749" spans="1:11">
      <c r="A749" t="s">
        <v>122</v>
      </c>
      <c r="B749" t="s">
        <v>561</v>
      </c>
      <c r="C749" t="s">
        <v>540</v>
      </c>
      <c r="D749" t="s">
        <v>543</v>
      </c>
      <c r="K749"/>
    </row>
    <row r="750" spans="1:11">
      <c r="A750" t="s">
        <v>123</v>
      </c>
      <c r="B750" t="s">
        <v>561</v>
      </c>
      <c r="C750" t="s">
        <v>540</v>
      </c>
      <c r="D750" t="s">
        <v>543</v>
      </c>
      <c r="K750"/>
    </row>
    <row r="751" spans="1:11">
      <c r="A751" t="s">
        <v>124</v>
      </c>
      <c r="B751" t="s">
        <v>561</v>
      </c>
      <c r="C751" t="s">
        <v>540</v>
      </c>
      <c r="D751" t="s">
        <v>543</v>
      </c>
      <c r="K751"/>
    </row>
    <row r="752" spans="1:11">
      <c r="A752" t="s">
        <v>125</v>
      </c>
      <c r="B752" t="s">
        <v>561</v>
      </c>
      <c r="C752" t="s">
        <v>540</v>
      </c>
      <c r="D752" t="s">
        <v>543</v>
      </c>
      <c r="K752"/>
    </row>
    <row r="753" spans="1:11">
      <c r="A753" t="s">
        <v>126</v>
      </c>
      <c r="B753" t="s">
        <v>561</v>
      </c>
      <c r="C753" t="s">
        <v>540</v>
      </c>
      <c r="D753" t="s">
        <v>543</v>
      </c>
      <c r="K753"/>
    </row>
    <row r="754" spans="1:11">
      <c r="A754" t="s">
        <v>3687</v>
      </c>
      <c r="B754" t="s">
        <v>561</v>
      </c>
      <c r="C754" t="s">
        <v>540</v>
      </c>
      <c r="D754" t="s">
        <v>543</v>
      </c>
      <c r="K754"/>
    </row>
    <row r="755" spans="1:11">
      <c r="A755" t="s">
        <v>127</v>
      </c>
      <c r="B755" t="s">
        <v>561</v>
      </c>
      <c r="C755" t="s">
        <v>540</v>
      </c>
      <c r="D755" t="s">
        <v>543</v>
      </c>
      <c r="K755"/>
    </row>
    <row r="756" spans="1:11">
      <c r="A756" t="s">
        <v>128</v>
      </c>
      <c r="B756" t="s">
        <v>561</v>
      </c>
      <c r="C756" t="s">
        <v>540</v>
      </c>
      <c r="D756" t="s">
        <v>543</v>
      </c>
      <c r="K756"/>
    </row>
    <row r="757" spans="1:11">
      <c r="A757" t="s">
        <v>129</v>
      </c>
      <c r="B757" t="s">
        <v>561</v>
      </c>
      <c r="C757" t="s">
        <v>540</v>
      </c>
      <c r="D757" t="s">
        <v>544</v>
      </c>
      <c r="K757"/>
    </row>
    <row r="758" spans="1:11">
      <c r="A758" t="s">
        <v>130</v>
      </c>
      <c r="B758" t="s">
        <v>561</v>
      </c>
      <c r="C758" t="s">
        <v>540</v>
      </c>
      <c r="D758" t="s">
        <v>544</v>
      </c>
      <c r="K758"/>
    </row>
    <row r="759" spans="1:11">
      <c r="A759" t="s">
        <v>131</v>
      </c>
      <c r="B759" t="s">
        <v>561</v>
      </c>
      <c r="C759" t="s">
        <v>540</v>
      </c>
      <c r="D759" t="s">
        <v>543</v>
      </c>
      <c r="K759"/>
    </row>
    <row r="760" spans="1:11">
      <c r="A760" t="s">
        <v>132</v>
      </c>
      <c r="B760" t="s">
        <v>561</v>
      </c>
      <c r="C760" t="s">
        <v>540</v>
      </c>
      <c r="D760" t="s">
        <v>543</v>
      </c>
      <c r="K760"/>
    </row>
    <row r="761" spans="1:11">
      <c r="A761" t="s">
        <v>133</v>
      </c>
      <c r="B761" t="s">
        <v>561</v>
      </c>
      <c r="C761" t="s">
        <v>540</v>
      </c>
      <c r="D761" t="s">
        <v>543</v>
      </c>
      <c r="K761"/>
    </row>
    <row r="762" spans="1:11">
      <c r="A762" t="s">
        <v>134</v>
      </c>
      <c r="B762" t="s">
        <v>561</v>
      </c>
      <c r="C762" t="s">
        <v>540</v>
      </c>
      <c r="D762" t="s">
        <v>543</v>
      </c>
      <c r="K762"/>
    </row>
    <row r="763" spans="1:11">
      <c r="A763" t="s">
        <v>135</v>
      </c>
      <c r="B763" t="s">
        <v>561</v>
      </c>
      <c r="C763" t="s">
        <v>540</v>
      </c>
      <c r="D763" t="s">
        <v>543</v>
      </c>
      <c r="K763"/>
    </row>
    <row r="764" spans="1:11">
      <c r="A764" t="s">
        <v>136</v>
      </c>
      <c r="B764" t="s">
        <v>561</v>
      </c>
      <c r="C764" t="s">
        <v>540</v>
      </c>
      <c r="D764" t="s">
        <v>543</v>
      </c>
      <c r="K764"/>
    </row>
    <row r="765" spans="1:11">
      <c r="A765" t="s">
        <v>137</v>
      </c>
      <c r="B765" t="s">
        <v>561</v>
      </c>
      <c r="C765" t="s">
        <v>540</v>
      </c>
      <c r="D765" t="s">
        <v>543</v>
      </c>
      <c r="K765"/>
    </row>
    <row r="766" spans="1:11">
      <c r="A766" t="s">
        <v>138</v>
      </c>
      <c r="B766" t="s">
        <v>561</v>
      </c>
      <c r="C766" t="s">
        <v>540</v>
      </c>
      <c r="D766" t="s">
        <v>543</v>
      </c>
      <c r="K766"/>
    </row>
    <row r="767" spans="1:11">
      <c r="A767" t="s">
        <v>139</v>
      </c>
      <c r="B767" t="s">
        <v>561</v>
      </c>
      <c r="C767" t="s">
        <v>540</v>
      </c>
      <c r="D767" t="s">
        <v>543</v>
      </c>
      <c r="K767"/>
    </row>
    <row r="768" spans="1:11">
      <c r="A768" t="s">
        <v>140</v>
      </c>
      <c r="B768" t="s">
        <v>561</v>
      </c>
      <c r="C768" t="s">
        <v>540</v>
      </c>
      <c r="D768" t="s">
        <v>543</v>
      </c>
      <c r="K768"/>
    </row>
    <row r="769" spans="1:11">
      <c r="A769" t="s">
        <v>141</v>
      </c>
      <c r="B769" t="s">
        <v>561</v>
      </c>
      <c r="C769" t="s">
        <v>540</v>
      </c>
      <c r="D769" t="s">
        <v>543</v>
      </c>
      <c r="K769"/>
    </row>
    <row r="770" spans="1:11">
      <c r="A770" t="s">
        <v>142</v>
      </c>
      <c r="B770" t="s">
        <v>561</v>
      </c>
      <c r="C770" t="s">
        <v>540</v>
      </c>
      <c r="D770" t="s">
        <v>543</v>
      </c>
      <c r="K770"/>
    </row>
    <row r="771" spans="1:11">
      <c r="A771" t="s">
        <v>143</v>
      </c>
      <c r="B771" t="s">
        <v>561</v>
      </c>
      <c r="C771" t="s">
        <v>540</v>
      </c>
      <c r="D771" t="s">
        <v>543</v>
      </c>
      <c r="K771"/>
    </row>
    <row r="772" spans="1:11">
      <c r="A772" t="s">
        <v>144</v>
      </c>
      <c r="B772" t="s">
        <v>561</v>
      </c>
      <c r="C772" t="s">
        <v>540</v>
      </c>
      <c r="D772" t="s">
        <v>543</v>
      </c>
      <c r="K772"/>
    </row>
    <row r="773" spans="1:11">
      <c r="A773" t="s">
        <v>145</v>
      </c>
      <c r="B773" t="s">
        <v>561</v>
      </c>
      <c r="C773" t="s">
        <v>540</v>
      </c>
      <c r="D773" t="s">
        <v>543</v>
      </c>
      <c r="K773"/>
    </row>
    <row r="774" spans="1:11">
      <c r="A774" t="s">
        <v>146</v>
      </c>
      <c r="B774" t="s">
        <v>561</v>
      </c>
      <c r="C774" t="s">
        <v>540</v>
      </c>
      <c r="D774" t="s">
        <v>543</v>
      </c>
      <c r="K774"/>
    </row>
    <row r="775" spans="1:11">
      <c r="A775" t="s">
        <v>147</v>
      </c>
      <c r="B775" t="s">
        <v>561</v>
      </c>
      <c r="C775" t="s">
        <v>540</v>
      </c>
      <c r="D775" t="s">
        <v>543</v>
      </c>
      <c r="K775"/>
    </row>
    <row r="776" spans="1:11">
      <c r="A776" t="s">
        <v>148</v>
      </c>
      <c r="B776" t="s">
        <v>561</v>
      </c>
      <c r="C776" t="s">
        <v>540</v>
      </c>
      <c r="D776" t="s">
        <v>543</v>
      </c>
      <c r="K776"/>
    </row>
    <row r="777" spans="1:11">
      <c r="A777" t="s">
        <v>149</v>
      </c>
      <c r="B777" t="s">
        <v>561</v>
      </c>
      <c r="C777" t="s">
        <v>540</v>
      </c>
      <c r="D777" t="s">
        <v>543</v>
      </c>
      <c r="K777"/>
    </row>
    <row r="778" spans="1:11">
      <c r="A778" t="s">
        <v>150</v>
      </c>
      <c r="B778" t="s">
        <v>561</v>
      </c>
      <c r="C778" t="s">
        <v>540</v>
      </c>
      <c r="D778" t="s">
        <v>543</v>
      </c>
      <c r="K778"/>
    </row>
    <row r="779" spans="1:11">
      <c r="A779" t="s">
        <v>151</v>
      </c>
      <c r="B779" t="s">
        <v>561</v>
      </c>
      <c r="C779" t="s">
        <v>540</v>
      </c>
      <c r="D779" t="s">
        <v>543</v>
      </c>
      <c r="K779"/>
    </row>
    <row r="780" spans="1:11">
      <c r="A780" t="s">
        <v>152</v>
      </c>
      <c r="B780" t="s">
        <v>561</v>
      </c>
      <c r="C780" t="s">
        <v>540</v>
      </c>
      <c r="D780" t="s">
        <v>543</v>
      </c>
      <c r="K780"/>
    </row>
    <row r="781" spans="1:11">
      <c r="A781" t="s">
        <v>153</v>
      </c>
      <c r="B781" t="s">
        <v>561</v>
      </c>
      <c r="C781" t="s">
        <v>540</v>
      </c>
      <c r="D781" t="s">
        <v>543</v>
      </c>
      <c r="K781"/>
    </row>
    <row r="782" spans="1:11">
      <c r="A782" t="s">
        <v>154</v>
      </c>
      <c r="B782" t="s">
        <v>561</v>
      </c>
      <c r="C782" t="s">
        <v>540</v>
      </c>
      <c r="D782" t="s">
        <v>3652</v>
      </c>
      <c r="K782"/>
    </row>
    <row r="783" spans="1:11">
      <c r="A783" t="s">
        <v>155</v>
      </c>
      <c r="B783" t="s">
        <v>561</v>
      </c>
      <c r="C783" t="s">
        <v>540</v>
      </c>
      <c r="D783" t="s">
        <v>3652</v>
      </c>
      <c r="K783"/>
    </row>
    <row r="784" spans="1:11">
      <c r="A784" t="s">
        <v>156</v>
      </c>
      <c r="B784" t="s">
        <v>561</v>
      </c>
      <c r="C784" t="s">
        <v>540</v>
      </c>
      <c r="D784" t="s">
        <v>543</v>
      </c>
      <c r="K784"/>
    </row>
    <row r="785" spans="1:11">
      <c r="A785" t="s">
        <v>157</v>
      </c>
      <c r="B785" t="s">
        <v>561</v>
      </c>
      <c r="C785" t="s">
        <v>540</v>
      </c>
      <c r="D785" t="s">
        <v>543</v>
      </c>
      <c r="K785"/>
    </row>
    <row r="786" spans="1:11">
      <c r="A786" t="s">
        <v>158</v>
      </c>
      <c r="B786" t="s">
        <v>561</v>
      </c>
      <c r="C786" t="s">
        <v>540</v>
      </c>
      <c r="D786" t="s">
        <v>543</v>
      </c>
      <c r="K786"/>
    </row>
    <row r="787" spans="1:11">
      <c r="A787" t="s">
        <v>159</v>
      </c>
      <c r="B787" t="s">
        <v>561</v>
      </c>
      <c r="C787" t="s">
        <v>540</v>
      </c>
      <c r="D787" t="s">
        <v>543</v>
      </c>
      <c r="K787"/>
    </row>
    <row r="788" spans="1:11">
      <c r="A788" t="s">
        <v>160</v>
      </c>
      <c r="B788" t="s">
        <v>561</v>
      </c>
      <c r="C788" t="s">
        <v>540</v>
      </c>
      <c r="D788" t="s">
        <v>543</v>
      </c>
      <c r="K788"/>
    </row>
    <row r="789" spans="1:11">
      <c r="A789" t="s">
        <v>161</v>
      </c>
      <c r="B789" t="s">
        <v>561</v>
      </c>
      <c r="C789" t="s">
        <v>540</v>
      </c>
      <c r="D789" t="s">
        <v>543</v>
      </c>
      <c r="K789"/>
    </row>
    <row r="790" spans="1:11">
      <c r="A790" t="s">
        <v>3346</v>
      </c>
      <c r="B790" t="s">
        <v>561</v>
      </c>
      <c r="C790" t="s">
        <v>534</v>
      </c>
      <c r="D790" t="s">
        <v>543</v>
      </c>
    </row>
    <row r="791" spans="1:11">
      <c r="A791" t="s">
        <v>3347</v>
      </c>
      <c r="B791" t="s">
        <v>561</v>
      </c>
      <c r="C791" t="s">
        <v>541</v>
      </c>
      <c r="D791" t="s">
        <v>543</v>
      </c>
    </row>
    <row r="792" spans="1:11">
      <c r="A792" t="s">
        <v>3348</v>
      </c>
      <c r="B792" t="s">
        <v>562</v>
      </c>
      <c r="C792" t="s">
        <v>533</v>
      </c>
      <c r="D792" t="s">
        <v>544</v>
      </c>
    </row>
    <row r="793" spans="1:11">
      <c r="A793" t="s">
        <v>3349</v>
      </c>
      <c r="B793" t="s">
        <v>561</v>
      </c>
      <c r="C793" t="s">
        <v>541</v>
      </c>
      <c r="D793" t="s">
        <v>544</v>
      </c>
    </row>
    <row r="794" spans="1:11">
      <c r="A794" t="s">
        <v>3350</v>
      </c>
      <c r="B794" t="s">
        <v>561</v>
      </c>
      <c r="C794" t="s">
        <v>534</v>
      </c>
      <c r="D794" t="s">
        <v>544</v>
      </c>
    </row>
    <row r="795" spans="1:11">
      <c r="A795" t="s">
        <v>3351</v>
      </c>
      <c r="B795" t="s">
        <v>561</v>
      </c>
      <c r="C795" t="s">
        <v>541</v>
      </c>
      <c r="D795" t="s">
        <v>543</v>
      </c>
    </row>
    <row r="796" spans="1:11">
      <c r="A796" t="s">
        <v>3528</v>
      </c>
      <c r="B796" t="s">
        <v>561</v>
      </c>
      <c r="C796" t="s">
        <v>541</v>
      </c>
      <c r="D796" t="s">
        <v>543</v>
      </c>
    </row>
    <row r="797" spans="1:11">
      <c r="A797" t="s">
        <v>3352</v>
      </c>
      <c r="B797" t="s">
        <v>561</v>
      </c>
      <c r="C797" t="s">
        <v>537</v>
      </c>
      <c r="D797" t="s">
        <v>543</v>
      </c>
    </row>
    <row r="798" spans="1:11">
      <c r="A798" t="s">
        <v>3353</v>
      </c>
      <c r="B798" t="s">
        <v>561</v>
      </c>
      <c r="C798" t="s">
        <v>537</v>
      </c>
      <c r="D798" t="s">
        <v>543</v>
      </c>
    </row>
    <row r="799" spans="1:11">
      <c r="A799" t="s">
        <v>3354</v>
      </c>
      <c r="B799" t="s">
        <v>562</v>
      </c>
      <c r="C799" t="s">
        <v>534</v>
      </c>
      <c r="D799" t="s">
        <v>543</v>
      </c>
    </row>
    <row r="800" spans="1:11">
      <c r="A800" t="s">
        <v>3355</v>
      </c>
      <c r="B800" t="s">
        <v>561</v>
      </c>
      <c r="C800" t="s">
        <v>534</v>
      </c>
      <c r="D800" t="s">
        <v>543</v>
      </c>
    </row>
    <row r="801" spans="1:4">
      <c r="A801" t="s">
        <v>3356</v>
      </c>
      <c r="B801" t="s">
        <v>561</v>
      </c>
      <c r="C801" t="s">
        <v>534</v>
      </c>
      <c r="D801" t="s">
        <v>543</v>
      </c>
    </row>
    <row r="802" spans="1:4">
      <c r="A802" t="s">
        <v>3357</v>
      </c>
      <c r="B802" t="s">
        <v>561</v>
      </c>
      <c r="C802" t="s">
        <v>534</v>
      </c>
      <c r="D802" t="s">
        <v>543</v>
      </c>
    </row>
    <row r="803" spans="1:4">
      <c r="A803" t="s">
        <v>3358</v>
      </c>
      <c r="B803" t="s">
        <v>562</v>
      </c>
      <c r="C803" t="s">
        <v>534</v>
      </c>
      <c r="D803" t="s">
        <v>543</v>
      </c>
    </row>
    <row r="804" spans="1:4">
      <c r="A804" t="s">
        <v>3359</v>
      </c>
      <c r="B804" t="s">
        <v>561</v>
      </c>
      <c r="C804" t="s">
        <v>538</v>
      </c>
      <c r="D804" t="s">
        <v>545</v>
      </c>
    </row>
    <row r="805" spans="1:4">
      <c r="A805" t="s">
        <v>1782</v>
      </c>
      <c r="B805" t="s">
        <v>561</v>
      </c>
      <c r="C805" t="s">
        <v>540</v>
      </c>
      <c r="D805" t="s">
        <v>543</v>
      </c>
    </row>
    <row r="806" spans="1:4">
      <c r="A806" t="s">
        <v>1783</v>
      </c>
      <c r="B806" t="s">
        <v>561</v>
      </c>
      <c r="C806" t="s">
        <v>540</v>
      </c>
      <c r="D806" t="s">
        <v>543</v>
      </c>
    </row>
    <row r="807" spans="1:4">
      <c r="A807" t="s">
        <v>1766</v>
      </c>
      <c r="B807" t="s">
        <v>561</v>
      </c>
      <c r="C807" t="s">
        <v>540</v>
      </c>
      <c r="D807" t="s">
        <v>1775</v>
      </c>
    </row>
    <row r="808" spans="1:4">
      <c r="A808" t="s">
        <v>1761</v>
      </c>
      <c r="B808" t="s">
        <v>561</v>
      </c>
      <c r="C808" t="s">
        <v>540</v>
      </c>
      <c r="D808" t="s">
        <v>1775</v>
      </c>
    </row>
    <row r="809" spans="1:4">
      <c r="A809" t="s">
        <v>1762</v>
      </c>
      <c r="B809" t="s">
        <v>561</v>
      </c>
      <c r="C809" t="s">
        <v>540</v>
      </c>
      <c r="D809" t="s">
        <v>1775</v>
      </c>
    </row>
    <row r="810" spans="1:4">
      <c r="A810" t="s">
        <v>1763</v>
      </c>
      <c r="B810" t="s">
        <v>561</v>
      </c>
      <c r="C810" t="s">
        <v>540</v>
      </c>
      <c r="D810" t="s">
        <v>1775</v>
      </c>
    </row>
    <row r="811" spans="1:4">
      <c r="A811" t="s">
        <v>1764</v>
      </c>
      <c r="B811" t="s">
        <v>561</v>
      </c>
      <c r="C811" t="s">
        <v>540</v>
      </c>
      <c r="D811" t="s">
        <v>1775</v>
      </c>
    </row>
    <row r="812" spans="1:4">
      <c r="A812" t="s">
        <v>1765</v>
      </c>
      <c r="B812" t="s">
        <v>561</v>
      </c>
      <c r="C812" t="s">
        <v>540</v>
      </c>
      <c r="D812" t="s">
        <v>1775</v>
      </c>
    </row>
    <row r="813" spans="1:4">
      <c r="A813" t="s">
        <v>1786</v>
      </c>
      <c r="B813" t="s">
        <v>561</v>
      </c>
      <c r="C813" t="s">
        <v>540</v>
      </c>
      <c r="D813" t="s">
        <v>1775</v>
      </c>
    </row>
    <row r="814" spans="1:4">
      <c r="A814" t="s">
        <v>3360</v>
      </c>
      <c r="B814" t="s">
        <v>562</v>
      </c>
      <c r="C814" t="s">
        <v>537</v>
      </c>
      <c r="D814" t="s">
        <v>543</v>
      </c>
    </row>
    <row r="815" spans="1:4">
      <c r="A815" t="s">
        <v>3361</v>
      </c>
      <c r="B815" t="s">
        <v>561</v>
      </c>
      <c r="C815" t="s">
        <v>538</v>
      </c>
      <c r="D815" t="s">
        <v>545</v>
      </c>
    </row>
    <row r="816" spans="1:4">
      <c r="A816" t="s">
        <v>3362</v>
      </c>
      <c r="B816" t="s">
        <v>561</v>
      </c>
      <c r="C816" t="s">
        <v>538</v>
      </c>
      <c r="D816" t="s">
        <v>545</v>
      </c>
    </row>
    <row r="817" spans="1:4">
      <c r="A817" t="s">
        <v>3363</v>
      </c>
      <c r="B817" t="s">
        <v>561</v>
      </c>
      <c r="C817" t="s">
        <v>538</v>
      </c>
      <c r="D817" t="s">
        <v>545</v>
      </c>
    </row>
    <row r="818" spans="1:4">
      <c r="A818" t="s">
        <v>3364</v>
      </c>
      <c r="B818" t="s">
        <v>561</v>
      </c>
      <c r="C818" t="s">
        <v>538</v>
      </c>
      <c r="D818" t="s">
        <v>545</v>
      </c>
    </row>
    <row r="819" spans="1:4">
      <c r="A819" t="s">
        <v>3365</v>
      </c>
      <c r="B819" t="s">
        <v>561</v>
      </c>
      <c r="C819" t="s">
        <v>538</v>
      </c>
      <c r="D819" t="s">
        <v>545</v>
      </c>
    </row>
    <row r="820" spans="1:4">
      <c r="A820" t="s">
        <v>3366</v>
      </c>
      <c r="B820" t="s">
        <v>561</v>
      </c>
      <c r="C820" t="s">
        <v>538</v>
      </c>
      <c r="D820" t="s">
        <v>545</v>
      </c>
    </row>
    <row r="821" spans="1:4">
      <c r="A821" t="s">
        <v>3367</v>
      </c>
      <c r="B821" t="s">
        <v>561</v>
      </c>
      <c r="C821" t="s">
        <v>538</v>
      </c>
      <c r="D821" t="s">
        <v>545</v>
      </c>
    </row>
    <row r="822" spans="1:4">
      <c r="A822" t="s">
        <v>3368</v>
      </c>
      <c r="B822" t="s">
        <v>561</v>
      </c>
      <c r="C822" t="s">
        <v>538</v>
      </c>
      <c r="D822" t="s">
        <v>543</v>
      </c>
    </row>
    <row r="823" spans="1:4">
      <c r="A823" t="s">
        <v>3369</v>
      </c>
      <c r="B823" t="s">
        <v>561</v>
      </c>
      <c r="C823" t="s">
        <v>538</v>
      </c>
      <c r="D823" t="s">
        <v>543</v>
      </c>
    </row>
    <row r="824" spans="1:4">
      <c r="A824" t="s">
        <v>3370</v>
      </c>
      <c r="B824" t="s">
        <v>561</v>
      </c>
      <c r="C824" t="s">
        <v>534</v>
      </c>
      <c r="D824" t="s">
        <v>543</v>
      </c>
    </row>
    <row r="825" spans="1:4">
      <c r="A825" t="s">
        <v>3371</v>
      </c>
      <c r="B825" t="s">
        <v>561</v>
      </c>
      <c r="C825" t="s">
        <v>537</v>
      </c>
      <c r="D825" t="s">
        <v>543</v>
      </c>
    </row>
    <row r="826" spans="1:4">
      <c r="A826" t="s">
        <v>3695</v>
      </c>
      <c r="B826" t="s">
        <v>561</v>
      </c>
      <c r="C826" t="s">
        <v>537</v>
      </c>
      <c r="D826" t="s">
        <v>543</v>
      </c>
    </row>
    <row r="827" spans="1:4">
      <c r="A827" t="s">
        <v>3372</v>
      </c>
      <c r="B827" t="s">
        <v>561</v>
      </c>
      <c r="C827" t="s">
        <v>541</v>
      </c>
      <c r="D827" t="s">
        <v>543</v>
      </c>
    </row>
    <row r="828" spans="1:4">
      <c r="A828" t="s">
        <v>3373</v>
      </c>
      <c r="B828" t="s">
        <v>561</v>
      </c>
      <c r="C828" t="s">
        <v>538</v>
      </c>
      <c r="D828" t="s">
        <v>543</v>
      </c>
    </row>
    <row r="829" spans="1:4">
      <c r="A829" t="s">
        <v>3374</v>
      </c>
      <c r="B829" t="s">
        <v>561</v>
      </c>
      <c r="C829" t="s">
        <v>538</v>
      </c>
      <c r="D829" t="s">
        <v>543</v>
      </c>
    </row>
    <row r="830" spans="1:4">
      <c r="A830" t="s">
        <v>3375</v>
      </c>
      <c r="B830" t="s">
        <v>561</v>
      </c>
      <c r="C830" t="s">
        <v>538</v>
      </c>
      <c r="D830" t="s">
        <v>543</v>
      </c>
    </row>
    <row r="831" spans="1:4">
      <c r="A831" t="s">
        <v>3376</v>
      </c>
      <c r="B831" t="s">
        <v>561</v>
      </c>
      <c r="C831" t="s">
        <v>538</v>
      </c>
      <c r="D831" t="s">
        <v>543</v>
      </c>
    </row>
    <row r="832" spans="1:4">
      <c r="A832" t="s">
        <v>3377</v>
      </c>
      <c r="B832" t="s">
        <v>561</v>
      </c>
      <c r="C832" t="s">
        <v>538</v>
      </c>
      <c r="D832" t="s">
        <v>545</v>
      </c>
    </row>
    <row r="833" spans="1:4">
      <c r="A833" t="s">
        <v>3378</v>
      </c>
      <c r="B833" t="s">
        <v>561</v>
      </c>
      <c r="C833" t="s">
        <v>538</v>
      </c>
      <c r="D833" t="s">
        <v>545</v>
      </c>
    </row>
    <row r="834" spans="1:4">
      <c r="A834" t="s">
        <v>3379</v>
      </c>
      <c r="B834" t="s">
        <v>561</v>
      </c>
      <c r="C834" t="s">
        <v>541</v>
      </c>
      <c r="D834" t="s">
        <v>545</v>
      </c>
    </row>
    <row r="835" spans="1:4">
      <c r="A835" t="s">
        <v>3380</v>
      </c>
      <c r="B835" t="s">
        <v>561</v>
      </c>
      <c r="C835" t="s">
        <v>541</v>
      </c>
      <c r="D835" t="s">
        <v>545</v>
      </c>
    </row>
    <row r="836" spans="1:4">
      <c r="A836" t="s">
        <v>3381</v>
      </c>
      <c r="B836" t="s">
        <v>561</v>
      </c>
      <c r="C836" t="s">
        <v>541</v>
      </c>
      <c r="D836" t="s">
        <v>543</v>
      </c>
    </row>
    <row r="837" spans="1:4">
      <c r="A837" t="s">
        <v>3382</v>
      </c>
      <c r="B837" t="s">
        <v>561</v>
      </c>
      <c r="C837" t="s">
        <v>541</v>
      </c>
      <c r="D837" t="s">
        <v>543</v>
      </c>
    </row>
    <row r="838" spans="1:4">
      <c r="A838" t="s">
        <v>3383</v>
      </c>
      <c r="B838" t="s">
        <v>561</v>
      </c>
      <c r="C838" t="s">
        <v>541</v>
      </c>
      <c r="D838" t="s">
        <v>543</v>
      </c>
    </row>
    <row r="839" spans="1:4">
      <c r="A839" t="s">
        <v>3384</v>
      </c>
      <c r="B839" t="s">
        <v>561</v>
      </c>
      <c r="C839" t="s">
        <v>541</v>
      </c>
      <c r="D839" t="s">
        <v>543</v>
      </c>
    </row>
    <row r="840" spans="1:4">
      <c r="A840" t="s">
        <v>3385</v>
      </c>
      <c r="B840" t="s">
        <v>561</v>
      </c>
      <c r="C840" t="s">
        <v>541</v>
      </c>
      <c r="D840" t="s">
        <v>545</v>
      </c>
    </row>
    <row r="841" spans="1:4">
      <c r="A841" s="2" t="s">
        <v>3386</v>
      </c>
      <c r="B841" t="s">
        <v>561</v>
      </c>
      <c r="C841" t="s">
        <v>541</v>
      </c>
      <c r="D841" t="s">
        <v>543</v>
      </c>
    </row>
    <row r="842" spans="1:4">
      <c r="A842" s="2" t="s">
        <v>3387</v>
      </c>
      <c r="B842" t="s">
        <v>561</v>
      </c>
      <c r="C842" t="s">
        <v>541</v>
      </c>
      <c r="D842" t="s">
        <v>543</v>
      </c>
    </row>
    <row r="843" spans="1:4">
      <c r="A843" s="2" t="s">
        <v>3388</v>
      </c>
      <c r="B843" t="s">
        <v>561</v>
      </c>
      <c r="C843" t="s">
        <v>541</v>
      </c>
      <c r="D843" t="s">
        <v>545</v>
      </c>
    </row>
    <row r="844" spans="1:4">
      <c r="A844" s="2" t="s">
        <v>3389</v>
      </c>
      <c r="B844" t="s">
        <v>561</v>
      </c>
      <c r="C844" t="s">
        <v>541</v>
      </c>
      <c r="D844" t="s">
        <v>543</v>
      </c>
    </row>
    <row r="845" spans="1:4">
      <c r="A845" s="2" t="s">
        <v>3390</v>
      </c>
      <c r="B845" t="s">
        <v>561</v>
      </c>
      <c r="C845" t="s">
        <v>534</v>
      </c>
      <c r="D845" t="s">
        <v>543</v>
      </c>
    </row>
    <row r="846" spans="1:4">
      <c r="A846" s="2" t="s">
        <v>3391</v>
      </c>
      <c r="B846" t="s">
        <v>561</v>
      </c>
      <c r="C846" t="s">
        <v>534</v>
      </c>
      <c r="D846" t="s">
        <v>543</v>
      </c>
    </row>
    <row r="847" spans="1:4">
      <c r="A847" s="2" t="s">
        <v>3392</v>
      </c>
      <c r="B847" t="s">
        <v>561</v>
      </c>
      <c r="C847" t="s">
        <v>534</v>
      </c>
      <c r="D847" t="s">
        <v>543</v>
      </c>
    </row>
    <row r="848" spans="1:4">
      <c r="A848" s="2" t="s">
        <v>3393</v>
      </c>
      <c r="B848" t="s">
        <v>561</v>
      </c>
      <c r="C848" t="s">
        <v>534</v>
      </c>
      <c r="D848" t="s">
        <v>543</v>
      </c>
    </row>
    <row r="849" spans="1:4">
      <c r="A849" s="2" t="s">
        <v>3539</v>
      </c>
      <c r="B849" t="s">
        <v>561</v>
      </c>
      <c r="C849" t="s">
        <v>534</v>
      </c>
      <c r="D849" t="s">
        <v>543</v>
      </c>
    </row>
    <row r="850" spans="1:4">
      <c r="A850" s="2" t="s">
        <v>3394</v>
      </c>
      <c r="B850" t="s">
        <v>561</v>
      </c>
      <c r="C850" t="s">
        <v>534</v>
      </c>
      <c r="D850" t="s">
        <v>543</v>
      </c>
    </row>
    <row r="851" spans="1:4">
      <c r="A851" s="2" t="s">
        <v>3395</v>
      </c>
      <c r="B851" t="s">
        <v>561</v>
      </c>
      <c r="C851" t="s">
        <v>534</v>
      </c>
      <c r="D851" t="s">
        <v>543</v>
      </c>
    </row>
    <row r="852" spans="1:4">
      <c r="A852" s="2" t="s">
        <v>3396</v>
      </c>
      <c r="B852" t="s">
        <v>561</v>
      </c>
      <c r="C852" t="s">
        <v>534</v>
      </c>
      <c r="D852" t="s">
        <v>543</v>
      </c>
    </row>
    <row r="853" spans="1:4">
      <c r="A853" s="2" t="s">
        <v>3397</v>
      </c>
      <c r="B853" t="s">
        <v>561</v>
      </c>
      <c r="C853" t="s">
        <v>534</v>
      </c>
      <c r="D853" t="s">
        <v>543</v>
      </c>
    </row>
    <row r="854" spans="1:4">
      <c r="A854" s="2" t="s">
        <v>3398</v>
      </c>
      <c r="B854" t="s">
        <v>561</v>
      </c>
      <c r="C854" t="s">
        <v>534</v>
      </c>
      <c r="D854" t="s">
        <v>543</v>
      </c>
    </row>
    <row r="855" spans="1:4">
      <c r="A855" s="2" t="s">
        <v>3399</v>
      </c>
      <c r="B855" t="s">
        <v>561</v>
      </c>
      <c r="C855" t="s">
        <v>534</v>
      </c>
      <c r="D855" t="s">
        <v>543</v>
      </c>
    </row>
    <row r="856" spans="1:4">
      <c r="A856" s="2" t="s">
        <v>3400</v>
      </c>
      <c r="B856" t="s">
        <v>561</v>
      </c>
      <c r="C856" t="s">
        <v>534</v>
      </c>
      <c r="D856" t="s">
        <v>543</v>
      </c>
    </row>
    <row r="857" spans="1:4">
      <c r="A857" s="2" t="s">
        <v>3534</v>
      </c>
      <c r="B857" t="s">
        <v>561</v>
      </c>
      <c r="C857" t="s">
        <v>534</v>
      </c>
      <c r="D857" t="s">
        <v>543</v>
      </c>
    </row>
    <row r="858" spans="1:4">
      <c r="A858" s="2" t="s">
        <v>3535</v>
      </c>
      <c r="B858" t="s">
        <v>561</v>
      </c>
      <c r="C858" t="s">
        <v>534</v>
      </c>
      <c r="D858" t="s">
        <v>543</v>
      </c>
    </row>
    <row r="859" spans="1:4">
      <c r="A859" s="2" t="s">
        <v>3559</v>
      </c>
      <c r="B859" t="s">
        <v>561</v>
      </c>
      <c r="C859" t="s">
        <v>534</v>
      </c>
      <c r="D859" t="s">
        <v>543</v>
      </c>
    </row>
    <row r="860" spans="1:4">
      <c r="A860" s="2" t="s">
        <v>3540</v>
      </c>
      <c r="B860" t="s">
        <v>561</v>
      </c>
      <c r="C860" t="s">
        <v>534</v>
      </c>
      <c r="D860" t="s">
        <v>543</v>
      </c>
    </row>
    <row r="861" spans="1:4">
      <c r="A861" s="2" t="s">
        <v>3401</v>
      </c>
      <c r="B861" t="s">
        <v>561</v>
      </c>
      <c r="C861" t="s">
        <v>534</v>
      </c>
      <c r="D861" t="s">
        <v>543</v>
      </c>
    </row>
    <row r="862" spans="1:4">
      <c r="A862" s="2" t="s">
        <v>3541</v>
      </c>
      <c r="B862" t="s">
        <v>561</v>
      </c>
      <c r="C862" t="s">
        <v>534</v>
      </c>
      <c r="D862" t="s">
        <v>543</v>
      </c>
    </row>
    <row r="863" spans="1:4">
      <c r="A863" t="s">
        <v>3402</v>
      </c>
      <c r="B863" t="s">
        <v>561</v>
      </c>
      <c r="C863" t="s">
        <v>534</v>
      </c>
      <c r="D863" t="s">
        <v>543</v>
      </c>
    </row>
    <row r="864" spans="1:4">
      <c r="A864" t="s">
        <v>3403</v>
      </c>
      <c r="B864" t="s">
        <v>561</v>
      </c>
      <c r="C864" t="s">
        <v>534</v>
      </c>
      <c r="D864" t="s">
        <v>543</v>
      </c>
    </row>
    <row r="865" spans="1:4">
      <c r="A865" t="s">
        <v>3404</v>
      </c>
      <c r="B865" t="s">
        <v>561</v>
      </c>
      <c r="C865" t="s">
        <v>534</v>
      </c>
      <c r="D865" t="s">
        <v>543</v>
      </c>
    </row>
    <row r="866" spans="1:4">
      <c r="A866" s="2" t="s">
        <v>3405</v>
      </c>
      <c r="B866" t="s">
        <v>561</v>
      </c>
      <c r="C866" t="s">
        <v>534</v>
      </c>
      <c r="D866" t="s">
        <v>543</v>
      </c>
    </row>
    <row r="867" spans="1:4">
      <c r="A867" t="s">
        <v>3406</v>
      </c>
      <c r="B867" t="s">
        <v>561</v>
      </c>
      <c r="C867" t="s">
        <v>534</v>
      </c>
      <c r="D867" t="s">
        <v>543</v>
      </c>
    </row>
    <row r="868" spans="1:4">
      <c r="A868" s="2" t="s">
        <v>3407</v>
      </c>
      <c r="B868" t="s">
        <v>561</v>
      </c>
      <c r="C868" t="s">
        <v>534</v>
      </c>
      <c r="D868" t="s">
        <v>543</v>
      </c>
    </row>
    <row r="869" spans="1:4">
      <c r="A869" s="2" t="s">
        <v>3408</v>
      </c>
      <c r="B869" t="s">
        <v>561</v>
      </c>
      <c r="C869" t="s">
        <v>534</v>
      </c>
      <c r="D869" t="s">
        <v>543</v>
      </c>
    </row>
    <row r="870" spans="1:4">
      <c r="A870" s="2" t="s">
        <v>3409</v>
      </c>
      <c r="B870" t="s">
        <v>562</v>
      </c>
      <c r="C870" t="s">
        <v>537</v>
      </c>
      <c r="D870" t="s">
        <v>543</v>
      </c>
    </row>
    <row r="871" spans="1:4">
      <c r="A871" s="2" t="s">
        <v>3542</v>
      </c>
      <c r="B871" t="s">
        <v>561</v>
      </c>
      <c r="C871" t="s">
        <v>534</v>
      </c>
      <c r="D871" t="s">
        <v>543</v>
      </c>
    </row>
    <row r="872" spans="1:4">
      <c r="A872" s="2" t="s">
        <v>3410</v>
      </c>
      <c r="B872" t="s">
        <v>561</v>
      </c>
      <c r="C872" t="s">
        <v>534</v>
      </c>
      <c r="D872" t="s">
        <v>543</v>
      </c>
    </row>
    <row r="873" spans="1:4">
      <c r="A873" s="2" t="s">
        <v>3411</v>
      </c>
      <c r="B873" t="s">
        <v>561</v>
      </c>
      <c r="C873" t="s">
        <v>534</v>
      </c>
      <c r="D873" t="s">
        <v>543</v>
      </c>
    </row>
    <row r="874" spans="1:4">
      <c r="A874" s="2" t="s">
        <v>3412</v>
      </c>
      <c r="B874" t="s">
        <v>561</v>
      </c>
      <c r="C874" t="s">
        <v>534</v>
      </c>
      <c r="D874" t="s">
        <v>543</v>
      </c>
    </row>
    <row r="875" spans="1:4">
      <c r="A875" s="2" t="s">
        <v>3413</v>
      </c>
      <c r="B875" t="s">
        <v>561</v>
      </c>
      <c r="C875" t="s">
        <v>534</v>
      </c>
      <c r="D875" t="s">
        <v>543</v>
      </c>
    </row>
    <row r="876" spans="1:4">
      <c r="A876" s="2" t="s">
        <v>3414</v>
      </c>
      <c r="B876" t="s">
        <v>561</v>
      </c>
      <c r="C876" t="s">
        <v>534</v>
      </c>
      <c r="D876" t="s">
        <v>543</v>
      </c>
    </row>
    <row r="877" spans="1:4">
      <c r="A877" s="2" t="s">
        <v>3415</v>
      </c>
      <c r="B877" t="s">
        <v>561</v>
      </c>
      <c r="C877" t="s">
        <v>534</v>
      </c>
      <c r="D877" t="s">
        <v>543</v>
      </c>
    </row>
    <row r="878" spans="1:4">
      <c r="A878" s="2" t="s">
        <v>3416</v>
      </c>
      <c r="B878" t="s">
        <v>561</v>
      </c>
      <c r="C878" t="s">
        <v>534</v>
      </c>
      <c r="D878" t="s">
        <v>543</v>
      </c>
    </row>
    <row r="879" spans="1:4">
      <c r="A879" s="2" t="s">
        <v>3417</v>
      </c>
      <c r="B879" t="s">
        <v>561</v>
      </c>
      <c r="C879" t="s">
        <v>534</v>
      </c>
      <c r="D879" t="s">
        <v>543</v>
      </c>
    </row>
    <row r="880" spans="1:4">
      <c r="A880" s="2" t="s">
        <v>3418</v>
      </c>
      <c r="B880" t="s">
        <v>561</v>
      </c>
      <c r="C880" t="s">
        <v>534</v>
      </c>
      <c r="D880" t="s">
        <v>543</v>
      </c>
    </row>
    <row r="881" spans="1:4">
      <c r="A881" t="s">
        <v>3419</v>
      </c>
      <c r="B881" t="s">
        <v>561</v>
      </c>
      <c r="C881" t="s">
        <v>541</v>
      </c>
      <c r="D881" t="s">
        <v>543</v>
      </c>
    </row>
    <row r="882" spans="1:4">
      <c r="A882" s="2" t="s">
        <v>3420</v>
      </c>
      <c r="B882" t="s">
        <v>561</v>
      </c>
      <c r="C882" t="s">
        <v>541</v>
      </c>
      <c r="D882" t="s">
        <v>543</v>
      </c>
    </row>
    <row r="883" spans="1:4">
      <c r="A883" s="2" t="s">
        <v>3421</v>
      </c>
      <c r="B883" t="s">
        <v>561</v>
      </c>
      <c r="C883" t="s">
        <v>541</v>
      </c>
      <c r="D883" t="s">
        <v>543</v>
      </c>
    </row>
    <row r="884" spans="1:4">
      <c r="A884" t="s">
        <v>3422</v>
      </c>
      <c r="B884" t="s">
        <v>561</v>
      </c>
      <c r="C884" t="s">
        <v>541</v>
      </c>
      <c r="D884" t="s">
        <v>543</v>
      </c>
    </row>
    <row r="885" spans="1:4">
      <c r="A885" s="2" t="s">
        <v>3423</v>
      </c>
      <c r="B885" t="s">
        <v>561</v>
      </c>
      <c r="C885" t="s">
        <v>541</v>
      </c>
      <c r="D885" t="s">
        <v>543</v>
      </c>
    </row>
    <row r="886" spans="1:4">
      <c r="A886" s="2" t="s">
        <v>3424</v>
      </c>
      <c r="B886" t="s">
        <v>561</v>
      </c>
      <c r="C886" t="s">
        <v>541</v>
      </c>
      <c r="D886" t="s">
        <v>543</v>
      </c>
    </row>
    <row r="887" spans="1:4">
      <c r="A887" s="2" t="s">
        <v>3425</v>
      </c>
      <c r="B887" t="s">
        <v>561</v>
      </c>
      <c r="C887" t="s">
        <v>541</v>
      </c>
      <c r="D887" t="s">
        <v>545</v>
      </c>
    </row>
    <row r="888" spans="1:4">
      <c r="A888" t="s">
        <v>3426</v>
      </c>
      <c r="B888" t="s">
        <v>561</v>
      </c>
      <c r="C888" t="s">
        <v>534</v>
      </c>
      <c r="D888" t="s">
        <v>543</v>
      </c>
    </row>
    <row r="889" spans="1:4">
      <c r="A889" s="2" t="s">
        <v>3427</v>
      </c>
      <c r="B889" t="s">
        <v>561</v>
      </c>
      <c r="C889" t="s">
        <v>534</v>
      </c>
      <c r="D889" t="s">
        <v>543</v>
      </c>
    </row>
    <row r="890" spans="1:4">
      <c r="A890" s="2" t="s">
        <v>3428</v>
      </c>
      <c r="B890" t="s">
        <v>561</v>
      </c>
      <c r="C890" t="s">
        <v>541</v>
      </c>
      <c r="D890" t="s">
        <v>543</v>
      </c>
    </row>
    <row r="891" spans="1:4">
      <c r="A891" s="2" t="s">
        <v>3429</v>
      </c>
      <c r="B891" t="s">
        <v>561</v>
      </c>
      <c r="C891" t="s">
        <v>534</v>
      </c>
      <c r="D891" t="s">
        <v>543</v>
      </c>
    </row>
    <row r="892" spans="1:4">
      <c r="A892" s="2" t="s">
        <v>3430</v>
      </c>
      <c r="B892" t="s">
        <v>561</v>
      </c>
      <c r="C892" t="s">
        <v>538</v>
      </c>
      <c r="D892" t="s">
        <v>543</v>
      </c>
    </row>
    <row r="893" spans="1:4">
      <c r="A893" s="2" t="s">
        <v>3431</v>
      </c>
      <c r="B893" t="s">
        <v>561</v>
      </c>
      <c r="C893" t="s">
        <v>541</v>
      </c>
      <c r="D893" t="s">
        <v>543</v>
      </c>
    </row>
    <row r="894" spans="1:4">
      <c r="A894" s="2" t="s">
        <v>3432</v>
      </c>
      <c r="B894" t="s">
        <v>561</v>
      </c>
      <c r="C894" t="s">
        <v>538</v>
      </c>
      <c r="D894" t="s">
        <v>543</v>
      </c>
    </row>
    <row r="895" spans="1:4">
      <c r="A895" s="2" t="s">
        <v>3433</v>
      </c>
      <c r="B895" t="s">
        <v>562</v>
      </c>
      <c r="C895" t="s">
        <v>538</v>
      </c>
      <c r="D895" t="s">
        <v>543</v>
      </c>
    </row>
    <row r="896" spans="1:4">
      <c r="A896" t="s">
        <v>3434</v>
      </c>
      <c r="B896" t="s">
        <v>562</v>
      </c>
      <c r="C896" t="s">
        <v>538</v>
      </c>
      <c r="D896" t="s">
        <v>543</v>
      </c>
    </row>
    <row r="897" spans="1:4">
      <c r="A897" s="2" t="s">
        <v>3435</v>
      </c>
      <c r="B897" t="s">
        <v>562</v>
      </c>
      <c r="C897" t="s">
        <v>538</v>
      </c>
      <c r="D897" t="s">
        <v>543</v>
      </c>
    </row>
    <row r="898" spans="1:4">
      <c r="A898" s="2" t="s">
        <v>3436</v>
      </c>
      <c r="B898" t="s">
        <v>562</v>
      </c>
      <c r="C898" t="s">
        <v>538</v>
      </c>
      <c r="D898" t="s">
        <v>543</v>
      </c>
    </row>
    <row r="899" spans="1:4">
      <c r="A899" s="2" t="s">
        <v>3437</v>
      </c>
      <c r="B899" t="s">
        <v>562</v>
      </c>
      <c r="C899" t="s">
        <v>538</v>
      </c>
      <c r="D899" t="s">
        <v>543</v>
      </c>
    </row>
    <row r="900" spans="1:4">
      <c r="A900" t="s">
        <v>3438</v>
      </c>
      <c r="B900" t="s">
        <v>562</v>
      </c>
      <c r="C900" t="s">
        <v>538</v>
      </c>
      <c r="D900" t="s">
        <v>543</v>
      </c>
    </row>
    <row r="901" spans="1:4">
      <c r="A901" s="2" t="s">
        <v>3439</v>
      </c>
      <c r="B901" t="s">
        <v>562</v>
      </c>
      <c r="C901" t="s">
        <v>538</v>
      </c>
      <c r="D901" t="s">
        <v>543</v>
      </c>
    </row>
    <row r="902" spans="1:4">
      <c r="A902" s="2" t="s">
        <v>3440</v>
      </c>
      <c r="B902" t="s">
        <v>562</v>
      </c>
      <c r="C902" t="s">
        <v>538</v>
      </c>
      <c r="D902" t="s">
        <v>543</v>
      </c>
    </row>
    <row r="903" spans="1:4">
      <c r="A903" s="2" t="s">
        <v>3441</v>
      </c>
      <c r="B903" t="s">
        <v>562</v>
      </c>
      <c r="C903" t="s">
        <v>538</v>
      </c>
      <c r="D903" t="s">
        <v>543</v>
      </c>
    </row>
    <row r="904" spans="1:4">
      <c r="A904" s="2" t="s">
        <v>3442</v>
      </c>
      <c r="B904" t="s">
        <v>562</v>
      </c>
      <c r="C904" t="s">
        <v>538</v>
      </c>
      <c r="D904" t="s">
        <v>543</v>
      </c>
    </row>
    <row r="905" spans="1:4">
      <c r="A905" s="2" t="s">
        <v>3443</v>
      </c>
      <c r="B905" t="s">
        <v>562</v>
      </c>
      <c r="C905" t="s">
        <v>538</v>
      </c>
      <c r="D905" t="s">
        <v>543</v>
      </c>
    </row>
    <row r="906" spans="1:4">
      <c r="A906" s="2" t="s">
        <v>3444</v>
      </c>
      <c r="B906" t="s">
        <v>562</v>
      </c>
      <c r="C906" t="s">
        <v>538</v>
      </c>
      <c r="D906" t="s">
        <v>543</v>
      </c>
    </row>
    <row r="907" spans="1:4">
      <c r="A907" s="2" t="s">
        <v>3445</v>
      </c>
      <c r="B907" t="s">
        <v>562</v>
      </c>
      <c r="C907" t="s">
        <v>538</v>
      </c>
      <c r="D907" t="s">
        <v>543</v>
      </c>
    </row>
    <row r="908" spans="1:4">
      <c r="A908" s="2" t="s">
        <v>3446</v>
      </c>
      <c r="B908" t="s">
        <v>562</v>
      </c>
      <c r="C908" t="s">
        <v>538</v>
      </c>
      <c r="D908" t="s">
        <v>543</v>
      </c>
    </row>
    <row r="909" spans="1:4">
      <c r="A909" s="2" t="s">
        <v>3447</v>
      </c>
      <c r="B909" t="s">
        <v>562</v>
      </c>
      <c r="C909" t="s">
        <v>538</v>
      </c>
      <c r="D909" t="s">
        <v>543</v>
      </c>
    </row>
    <row r="910" spans="1:4">
      <c r="A910" s="2" t="s">
        <v>1896</v>
      </c>
      <c r="B910" t="s">
        <v>561</v>
      </c>
      <c r="C910" t="s">
        <v>540</v>
      </c>
      <c r="D910" t="s">
        <v>1897</v>
      </c>
    </row>
    <row r="911" spans="1:4">
      <c r="A911" s="2" t="s">
        <v>1898</v>
      </c>
      <c r="B911" t="s">
        <v>561</v>
      </c>
      <c r="C911" t="s">
        <v>540</v>
      </c>
      <c r="D911" t="s">
        <v>1897</v>
      </c>
    </row>
    <row r="912" spans="1:4">
      <c r="A912" s="2" t="s">
        <v>1899</v>
      </c>
      <c r="B912" t="s">
        <v>561</v>
      </c>
      <c r="C912" t="s">
        <v>540</v>
      </c>
      <c r="D912" t="s">
        <v>1897</v>
      </c>
    </row>
    <row r="913" spans="1:4">
      <c r="A913" s="2" t="s">
        <v>1900</v>
      </c>
      <c r="B913" t="s">
        <v>561</v>
      </c>
      <c r="C913" t="s">
        <v>540</v>
      </c>
      <c r="D913" t="s">
        <v>1897</v>
      </c>
    </row>
    <row r="914" spans="1:4">
      <c r="A914" s="2" t="s">
        <v>1903</v>
      </c>
      <c r="B914" t="s">
        <v>561</v>
      </c>
      <c r="C914" t="s">
        <v>540</v>
      </c>
      <c r="D914" t="s">
        <v>1897</v>
      </c>
    </row>
    <row r="915" spans="1:4">
      <c r="A915" s="2" t="s">
        <v>1904</v>
      </c>
      <c r="B915" t="s">
        <v>561</v>
      </c>
      <c r="C915" t="s">
        <v>540</v>
      </c>
      <c r="D915" t="s">
        <v>1897</v>
      </c>
    </row>
    <row r="916" spans="1:4">
      <c r="A916" s="2" t="s">
        <v>1907</v>
      </c>
      <c r="B916" t="s">
        <v>561</v>
      </c>
      <c r="C916" t="s">
        <v>540</v>
      </c>
      <c r="D916" t="s">
        <v>543</v>
      </c>
    </row>
    <row r="917" spans="1:4">
      <c r="A917" s="2" t="s">
        <v>1908</v>
      </c>
      <c r="B917" t="s">
        <v>561</v>
      </c>
      <c r="C917" t="s">
        <v>540</v>
      </c>
      <c r="D917" t="s">
        <v>1897</v>
      </c>
    </row>
    <row r="918" spans="1:4">
      <c r="A918" s="2" t="s">
        <v>1910</v>
      </c>
      <c r="B918" t="s">
        <v>561</v>
      </c>
      <c r="C918" t="s">
        <v>540</v>
      </c>
      <c r="D918" t="s">
        <v>1897</v>
      </c>
    </row>
    <row r="919" spans="1:4">
      <c r="A919" s="2" t="s">
        <v>1912</v>
      </c>
      <c r="B919" t="s">
        <v>561</v>
      </c>
      <c r="C919" t="s">
        <v>540</v>
      </c>
      <c r="D919" t="s">
        <v>1897</v>
      </c>
    </row>
    <row r="920" spans="1:4">
      <c r="A920" s="2" t="s">
        <v>1913</v>
      </c>
      <c r="B920" t="s">
        <v>561</v>
      </c>
      <c r="C920" t="s">
        <v>540</v>
      </c>
      <c r="D920" t="s">
        <v>1897</v>
      </c>
    </row>
    <row r="921" spans="1:4">
      <c r="A921" s="2" t="s">
        <v>1915</v>
      </c>
      <c r="B921" t="s">
        <v>561</v>
      </c>
      <c r="C921" t="s">
        <v>540</v>
      </c>
      <c r="D921" t="s">
        <v>1897</v>
      </c>
    </row>
    <row r="922" spans="1:4">
      <c r="A922" s="2" t="s">
        <v>1917</v>
      </c>
      <c r="B922" t="s">
        <v>561</v>
      </c>
      <c r="C922" t="s">
        <v>540</v>
      </c>
      <c r="D922" t="s">
        <v>1897</v>
      </c>
    </row>
    <row r="923" spans="1:4">
      <c r="A923" s="2" t="s">
        <v>1919</v>
      </c>
      <c r="B923" t="s">
        <v>561</v>
      </c>
      <c r="C923" t="s">
        <v>540</v>
      </c>
      <c r="D923" t="s">
        <v>1897</v>
      </c>
    </row>
    <row r="924" spans="1:4">
      <c r="A924" s="2" t="s">
        <v>1920</v>
      </c>
      <c r="B924" t="s">
        <v>561</v>
      </c>
      <c r="C924" t="s">
        <v>540</v>
      </c>
      <c r="D924" t="s">
        <v>1897</v>
      </c>
    </row>
    <row r="925" spans="1:4">
      <c r="A925" s="2" t="s">
        <v>1924</v>
      </c>
      <c r="B925" t="s">
        <v>561</v>
      </c>
      <c r="C925" t="s">
        <v>540</v>
      </c>
      <c r="D925" t="s">
        <v>1897</v>
      </c>
    </row>
    <row r="926" spans="1:4">
      <c r="A926" s="2" t="s">
        <v>1926</v>
      </c>
      <c r="B926" t="s">
        <v>561</v>
      </c>
      <c r="C926" t="s">
        <v>540</v>
      </c>
      <c r="D926" t="s">
        <v>1897</v>
      </c>
    </row>
    <row r="927" spans="1:4">
      <c r="A927" s="2" t="s">
        <v>1927</v>
      </c>
      <c r="B927" t="s">
        <v>561</v>
      </c>
      <c r="C927" t="s">
        <v>540</v>
      </c>
      <c r="D927" t="s">
        <v>1897</v>
      </c>
    </row>
    <row r="928" spans="1:4">
      <c r="A928" s="2" t="s">
        <v>1929</v>
      </c>
      <c r="B928" t="s">
        <v>561</v>
      </c>
      <c r="C928" t="s">
        <v>540</v>
      </c>
      <c r="D928" t="s">
        <v>1897</v>
      </c>
    </row>
    <row r="929" spans="1:4">
      <c r="A929" t="s">
        <v>1931</v>
      </c>
      <c r="B929" t="s">
        <v>561</v>
      </c>
      <c r="C929" t="s">
        <v>540</v>
      </c>
      <c r="D929" t="s">
        <v>1897</v>
      </c>
    </row>
    <row r="930" spans="1:4">
      <c r="A930" t="s">
        <v>1932</v>
      </c>
      <c r="B930" t="s">
        <v>561</v>
      </c>
      <c r="C930" t="s">
        <v>540</v>
      </c>
      <c r="D930" t="s">
        <v>1897</v>
      </c>
    </row>
    <row r="931" spans="1:4">
      <c r="A931" s="2" t="s">
        <v>1940</v>
      </c>
      <c r="B931" t="s">
        <v>561</v>
      </c>
      <c r="C931" t="s">
        <v>540</v>
      </c>
      <c r="D931" t="s">
        <v>1897</v>
      </c>
    </row>
    <row r="932" spans="1:4">
      <c r="A932" s="2" t="s">
        <v>1941</v>
      </c>
      <c r="B932" t="s">
        <v>561</v>
      </c>
      <c r="C932" t="s">
        <v>540</v>
      </c>
      <c r="D932" t="s">
        <v>1897</v>
      </c>
    </row>
    <row r="933" spans="1:4">
      <c r="A933" s="2" t="s">
        <v>1943</v>
      </c>
      <c r="B933" t="s">
        <v>561</v>
      </c>
      <c r="C933" t="s">
        <v>540</v>
      </c>
      <c r="D933" t="s">
        <v>1897</v>
      </c>
    </row>
    <row r="934" spans="1:4">
      <c r="A934" s="2" t="s">
        <v>3448</v>
      </c>
      <c r="B934" t="s">
        <v>561</v>
      </c>
      <c r="C934" t="s">
        <v>534</v>
      </c>
      <c r="D934" t="s">
        <v>543</v>
      </c>
    </row>
    <row r="935" spans="1:4">
      <c r="A935" s="2" t="s">
        <v>3320</v>
      </c>
      <c r="B935" t="s">
        <v>561</v>
      </c>
      <c r="C935" t="s">
        <v>538</v>
      </c>
      <c r="D935" t="s">
        <v>543</v>
      </c>
    </row>
    <row r="936" spans="1:4">
      <c r="A936" s="2" t="s">
        <v>3449</v>
      </c>
      <c r="B936" t="s">
        <v>561</v>
      </c>
      <c r="C936" t="s">
        <v>538</v>
      </c>
      <c r="D936" t="s">
        <v>543</v>
      </c>
    </row>
    <row r="937" spans="1:4">
      <c r="A937" s="2" t="s">
        <v>3450</v>
      </c>
      <c r="B937" t="s">
        <v>561</v>
      </c>
      <c r="C937" t="s">
        <v>538</v>
      </c>
      <c r="D937" t="s">
        <v>543</v>
      </c>
    </row>
    <row r="938" spans="1:4">
      <c r="A938" s="2" t="s">
        <v>3451</v>
      </c>
      <c r="B938" t="s">
        <v>561</v>
      </c>
      <c r="C938" t="s">
        <v>538</v>
      </c>
      <c r="D938" t="s">
        <v>545</v>
      </c>
    </row>
    <row r="939" spans="1:4">
      <c r="A939" s="2" t="s">
        <v>3452</v>
      </c>
      <c r="B939" t="s">
        <v>561</v>
      </c>
      <c r="C939" t="s">
        <v>534</v>
      </c>
      <c r="D939" t="s">
        <v>543</v>
      </c>
    </row>
    <row r="940" spans="1:4">
      <c r="A940" t="s">
        <v>3453</v>
      </c>
      <c r="B940" t="s">
        <v>561</v>
      </c>
      <c r="C940" t="s">
        <v>538</v>
      </c>
      <c r="D940" t="s">
        <v>547</v>
      </c>
    </row>
    <row r="941" spans="1:4">
      <c r="A941" t="s">
        <v>3454</v>
      </c>
      <c r="B941" t="s">
        <v>562</v>
      </c>
      <c r="C941" t="s">
        <v>535</v>
      </c>
      <c r="D941" t="s">
        <v>543</v>
      </c>
    </row>
    <row r="942" spans="1:4">
      <c r="A942" s="2" t="s">
        <v>3455</v>
      </c>
      <c r="B942" t="s">
        <v>561</v>
      </c>
      <c r="C942" t="s">
        <v>534</v>
      </c>
      <c r="D942" t="s">
        <v>543</v>
      </c>
    </row>
    <row r="943" spans="1:4">
      <c r="A943" s="2" t="s">
        <v>3456</v>
      </c>
      <c r="B943" t="s">
        <v>561</v>
      </c>
      <c r="C943" t="s">
        <v>534</v>
      </c>
      <c r="D943" t="s">
        <v>543</v>
      </c>
    </row>
    <row r="944" spans="1:4">
      <c r="A944" s="2" t="s">
        <v>3457</v>
      </c>
      <c r="B944" t="s">
        <v>561</v>
      </c>
      <c r="C944" t="s">
        <v>534</v>
      </c>
      <c r="D944" t="s">
        <v>543</v>
      </c>
    </row>
    <row r="945" spans="1:4">
      <c r="A945" s="2" t="s">
        <v>3458</v>
      </c>
      <c r="B945" t="s">
        <v>561</v>
      </c>
      <c r="C945" t="s">
        <v>534</v>
      </c>
      <c r="D945" t="s">
        <v>543</v>
      </c>
    </row>
    <row r="946" spans="1:4">
      <c r="A946" s="2" t="s">
        <v>3459</v>
      </c>
      <c r="B946" t="s">
        <v>561</v>
      </c>
      <c r="C946" t="s">
        <v>534</v>
      </c>
      <c r="D946" t="s">
        <v>543</v>
      </c>
    </row>
    <row r="947" spans="1:4">
      <c r="A947" s="2" t="s">
        <v>3460</v>
      </c>
      <c r="B947" t="s">
        <v>561</v>
      </c>
      <c r="C947" t="s">
        <v>541</v>
      </c>
      <c r="D947" t="s">
        <v>548</v>
      </c>
    </row>
    <row r="948" spans="1:4">
      <c r="A948" s="2" t="s">
        <v>3461</v>
      </c>
      <c r="B948" t="s">
        <v>561</v>
      </c>
      <c r="C948" t="s">
        <v>541</v>
      </c>
      <c r="D948" t="s">
        <v>543</v>
      </c>
    </row>
    <row r="949" spans="1:4">
      <c r="A949" s="2" t="s">
        <v>3462</v>
      </c>
      <c r="B949" t="s">
        <v>561</v>
      </c>
      <c r="C949" t="s">
        <v>541</v>
      </c>
      <c r="D949" t="s">
        <v>543</v>
      </c>
    </row>
    <row r="950" spans="1:4">
      <c r="A950" s="2" t="s">
        <v>3463</v>
      </c>
      <c r="B950" t="s">
        <v>561</v>
      </c>
      <c r="C950" t="s">
        <v>534</v>
      </c>
      <c r="D950" t="s">
        <v>543</v>
      </c>
    </row>
    <row r="951" spans="1:4">
      <c r="A951" s="2" t="s">
        <v>3464</v>
      </c>
      <c r="B951" t="s">
        <v>561</v>
      </c>
      <c r="C951" t="s">
        <v>534</v>
      </c>
      <c r="D951" t="s">
        <v>543</v>
      </c>
    </row>
    <row r="952" spans="1:4">
      <c r="A952" s="2" t="s">
        <v>3465</v>
      </c>
      <c r="B952" t="s">
        <v>561</v>
      </c>
      <c r="C952" t="s">
        <v>534</v>
      </c>
      <c r="D952" t="s">
        <v>543</v>
      </c>
    </row>
    <row r="953" spans="1:4">
      <c r="A953" s="2" t="s">
        <v>3466</v>
      </c>
      <c r="B953" t="s">
        <v>561</v>
      </c>
      <c r="C953" t="s">
        <v>534</v>
      </c>
      <c r="D953" t="s">
        <v>543</v>
      </c>
    </row>
    <row r="954" spans="1:4">
      <c r="A954" s="2" t="s">
        <v>3467</v>
      </c>
      <c r="B954" t="s">
        <v>561</v>
      </c>
      <c r="C954" t="s">
        <v>534</v>
      </c>
      <c r="D954" t="s">
        <v>543</v>
      </c>
    </row>
    <row r="955" spans="1:4">
      <c r="A955" s="2" t="s">
        <v>3468</v>
      </c>
      <c r="B955" t="s">
        <v>561</v>
      </c>
      <c r="C955" t="s">
        <v>534</v>
      </c>
      <c r="D955" t="s">
        <v>543</v>
      </c>
    </row>
    <row r="956" spans="1:4">
      <c r="A956" t="s">
        <v>3469</v>
      </c>
      <c r="B956" t="s">
        <v>561</v>
      </c>
      <c r="C956" t="s">
        <v>534</v>
      </c>
      <c r="D956" t="s">
        <v>543</v>
      </c>
    </row>
    <row r="957" spans="1:4">
      <c r="A957" s="2" t="s">
        <v>3560</v>
      </c>
      <c r="B957" t="s">
        <v>561</v>
      </c>
      <c r="C957" t="s">
        <v>534</v>
      </c>
      <c r="D957" t="s">
        <v>543</v>
      </c>
    </row>
    <row r="958" spans="1:4">
      <c r="A958" s="2" t="s">
        <v>3470</v>
      </c>
      <c r="B958" t="s">
        <v>561</v>
      </c>
      <c r="C958" t="s">
        <v>541</v>
      </c>
      <c r="D958" t="s">
        <v>543</v>
      </c>
    </row>
    <row r="959" spans="1:4">
      <c r="A959" s="2" t="s">
        <v>3471</v>
      </c>
      <c r="B959" t="s">
        <v>561</v>
      </c>
      <c r="C959" t="s">
        <v>541</v>
      </c>
      <c r="D959" t="s">
        <v>545</v>
      </c>
    </row>
    <row r="960" spans="1:4">
      <c r="A960" s="2" t="s">
        <v>3472</v>
      </c>
      <c r="B960" t="s">
        <v>561</v>
      </c>
      <c r="C960" t="s">
        <v>541</v>
      </c>
      <c r="D960" t="s">
        <v>545</v>
      </c>
    </row>
    <row r="961" spans="1:4">
      <c r="A961" s="2" t="s">
        <v>3473</v>
      </c>
      <c r="B961" t="s">
        <v>561</v>
      </c>
      <c r="C961" t="s">
        <v>534</v>
      </c>
      <c r="D961" t="s">
        <v>543</v>
      </c>
    </row>
    <row r="962" spans="1:4">
      <c r="A962" s="2" t="s">
        <v>3474</v>
      </c>
      <c r="B962" t="s">
        <v>561</v>
      </c>
      <c r="C962" t="s">
        <v>538</v>
      </c>
      <c r="D962" t="s">
        <v>543</v>
      </c>
    </row>
    <row r="963" spans="1:4">
      <c r="A963" s="2" t="s">
        <v>1980</v>
      </c>
      <c r="B963" t="s">
        <v>561</v>
      </c>
      <c r="C963" t="s">
        <v>540</v>
      </c>
      <c r="D963" t="s">
        <v>1897</v>
      </c>
    </row>
    <row r="964" spans="1:4">
      <c r="A964" s="2" t="s">
        <v>1981</v>
      </c>
      <c r="B964" t="s">
        <v>561</v>
      </c>
      <c r="C964" t="s">
        <v>540</v>
      </c>
      <c r="D964" t="s">
        <v>1897</v>
      </c>
    </row>
    <row r="965" spans="1:4">
      <c r="A965" s="2" t="s">
        <v>3475</v>
      </c>
      <c r="B965" t="s">
        <v>561</v>
      </c>
      <c r="C965" t="s">
        <v>541</v>
      </c>
      <c r="D965" t="s">
        <v>543</v>
      </c>
    </row>
    <row r="966" spans="1:4">
      <c r="A966" s="2" t="s">
        <v>3476</v>
      </c>
      <c r="B966" t="s">
        <v>561</v>
      </c>
      <c r="C966" t="s">
        <v>541</v>
      </c>
      <c r="D966" t="s">
        <v>543</v>
      </c>
    </row>
    <row r="967" spans="1:4">
      <c r="A967" s="2" t="s">
        <v>3477</v>
      </c>
      <c r="B967" t="s">
        <v>561</v>
      </c>
      <c r="C967" t="s">
        <v>541</v>
      </c>
      <c r="D967" t="s">
        <v>543</v>
      </c>
    </row>
    <row r="968" spans="1:4">
      <c r="A968" s="2" t="s">
        <v>3478</v>
      </c>
      <c r="B968" t="s">
        <v>561</v>
      </c>
      <c r="C968" t="s">
        <v>534</v>
      </c>
      <c r="D968" t="s">
        <v>543</v>
      </c>
    </row>
    <row r="969" spans="1:4">
      <c r="A969" s="2" t="s">
        <v>3479</v>
      </c>
      <c r="B969" t="s">
        <v>561</v>
      </c>
      <c r="C969" t="s">
        <v>534</v>
      </c>
      <c r="D969" t="s">
        <v>543</v>
      </c>
    </row>
    <row r="970" spans="1:4">
      <c r="A970" s="2" t="s">
        <v>3480</v>
      </c>
      <c r="B970" t="s">
        <v>561</v>
      </c>
      <c r="C970" t="s">
        <v>541</v>
      </c>
      <c r="D970" t="s">
        <v>543</v>
      </c>
    </row>
    <row r="971" spans="1:4">
      <c r="A971" t="s">
        <v>3481</v>
      </c>
      <c r="B971" t="s">
        <v>561</v>
      </c>
      <c r="C971" t="s">
        <v>535</v>
      </c>
      <c r="D971" t="s">
        <v>545</v>
      </c>
    </row>
    <row r="972" spans="1:4">
      <c r="A972" s="2" t="s">
        <v>3482</v>
      </c>
      <c r="B972" t="s">
        <v>561</v>
      </c>
      <c r="C972" t="s">
        <v>541</v>
      </c>
      <c r="D972" t="s">
        <v>545</v>
      </c>
    </row>
    <row r="973" spans="1:4">
      <c r="A973" s="2" t="s">
        <v>3483</v>
      </c>
      <c r="B973" t="s">
        <v>561</v>
      </c>
      <c r="C973" t="s">
        <v>541</v>
      </c>
      <c r="D973" t="s">
        <v>545</v>
      </c>
    </row>
    <row r="974" spans="1:4">
      <c r="A974" s="2" t="s">
        <v>3484</v>
      </c>
      <c r="B974" t="s">
        <v>561</v>
      </c>
      <c r="C974" t="s">
        <v>538</v>
      </c>
      <c r="D974" t="s">
        <v>543</v>
      </c>
    </row>
    <row r="975" spans="1:4">
      <c r="A975" s="2" t="s">
        <v>3485</v>
      </c>
      <c r="B975" t="s">
        <v>561</v>
      </c>
      <c r="C975" t="s">
        <v>541</v>
      </c>
      <c r="D975" t="s">
        <v>548</v>
      </c>
    </row>
    <row r="976" spans="1:4">
      <c r="A976" s="2" t="s">
        <v>3486</v>
      </c>
      <c r="B976" t="s">
        <v>561</v>
      </c>
      <c r="C976" t="s">
        <v>541</v>
      </c>
      <c r="D976" t="s">
        <v>548</v>
      </c>
    </row>
    <row r="977" spans="1:4">
      <c r="A977" s="2" t="s">
        <v>3487</v>
      </c>
      <c r="B977" t="s">
        <v>561</v>
      </c>
      <c r="C977" t="s">
        <v>534</v>
      </c>
      <c r="D977" t="s">
        <v>543</v>
      </c>
    </row>
    <row r="978" spans="1:4">
      <c r="A978" s="2" t="s">
        <v>3488</v>
      </c>
      <c r="B978" t="s">
        <v>563</v>
      </c>
      <c r="C978" t="s">
        <v>538</v>
      </c>
      <c r="D978" t="s">
        <v>547</v>
      </c>
    </row>
    <row r="979" spans="1:4">
      <c r="A979" s="2" t="s">
        <v>3489</v>
      </c>
      <c r="B979" t="s">
        <v>561</v>
      </c>
      <c r="C979" t="s">
        <v>534</v>
      </c>
      <c r="D979" t="s">
        <v>543</v>
      </c>
    </row>
    <row r="980" spans="1:4">
      <c r="A980" s="2" t="s">
        <v>3490</v>
      </c>
      <c r="B980" t="s">
        <v>561</v>
      </c>
      <c r="C980" t="s">
        <v>538</v>
      </c>
      <c r="D980" t="s">
        <v>543</v>
      </c>
    </row>
    <row r="981" spans="1:4">
      <c r="A981" s="2" t="s">
        <v>3491</v>
      </c>
      <c r="B981" t="s">
        <v>561</v>
      </c>
      <c r="C981" t="s">
        <v>534</v>
      </c>
      <c r="D981" t="s">
        <v>543</v>
      </c>
    </row>
    <row r="982" spans="1:4">
      <c r="A982" s="2" t="s">
        <v>3492</v>
      </c>
      <c r="B982" t="s">
        <v>561</v>
      </c>
      <c r="C982" t="s">
        <v>534</v>
      </c>
      <c r="D982" t="s">
        <v>543</v>
      </c>
    </row>
    <row r="983" spans="1:4">
      <c r="A983" s="2" t="s">
        <v>3493</v>
      </c>
      <c r="B983" t="s">
        <v>561</v>
      </c>
      <c r="C983" t="s">
        <v>534</v>
      </c>
      <c r="D983" t="s">
        <v>543</v>
      </c>
    </row>
    <row r="984" spans="1:4">
      <c r="A984" s="2" t="s">
        <v>3494</v>
      </c>
      <c r="B984" t="s">
        <v>561</v>
      </c>
      <c r="C984" t="s">
        <v>534</v>
      </c>
      <c r="D984" t="s">
        <v>543</v>
      </c>
    </row>
    <row r="985" spans="1:4">
      <c r="A985" s="2" t="s">
        <v>3495</v>
      </c>
      <c r="B985" t="s">
        <v>561</v>
      </c>
      <c r="C985" t="s">
        <v>538</v>
      </c>
      <c r="D985" t="s">
        <v>547</v>
      </c>
    </row>
    <row r="986" spans="1:4">
      <c r="A986" s="2" t="s">
        <v>3496</v>
      </c>
      <c r="B986" t="s">
        <v>561</v>
      </c>
      <c r="C986" t="s">
        <v>534</v>
      </c>
      <c r="D986" t="s">
        <v>543</v>
      </c>
    </row>
    <row r="987" spans="1:4">
      <c r="A987" s="2" t="s">
        <v>3497</v>
      </c>
      <c r="B987" t="s">
        <v>561</v>
      </c>
      <c r="C987" t="s">
        <v>538</v>
      </c>
      <c r="D987" t="s">
        <v>547</v>
      </c>
    </row>
    <row r="988" spans="1:4">
      <c r="A988" s="2" t="s">
        <v>3498</v>
      </c>
      <c r="B988" t="s">
        <v>561</v>
      </c>
      <c r="C988" t="s">
        <v>534</v>
      </c>
      <c r="D988" t="s">
        <v>543</v>
      </c>
    </row>
    <row r="989" spans="1:4">
      <c r="A989" s="2" t="s">
        <v>3499</v>
      </c>
      <c r="B989" t="s">
        <v>561</v>
      </c>
      <c r="C989" t="s">
        <v>541</v>
      </c>
      <c r="D989" t="s">
        <v>547</v>
      </c>
    </row>
    <row r="990" spans="1:4">
      <c r="A990" s="2" t="s">
        <v>3500</v>
      </c>
      <c r="B990" t="s">
        <v>561</v>
      </c>
      <c r="C990" t="s">
        <v>538</v>
      </c>
      <c r="D990" t="s">
        <v>549</v>
      </c>
    </row>
    <row r="991" spans="1:4">
      <c r="A991" s="2" t="s">
        <v>3501</v>
      </c>
      <c r="B991" t="s">
        <v>561</v>
      </c>
      <c r="C991" t="s">
        <v>538</v>
      </c>
      <c r="D991" t="s">
        <v>549</v>
      </c>
    </row>
    <row r="992" spans="1:4">
      <c r="A992" s="2" t="s">
        <v>3502</v>
      </c>
      <c r="B992" t="s">
        <v>561</v>
      </c>
      <c r="C992" t="s">
        <v>533</v>
      </c>
      <c r="D992" t="s">
        <v>545</v>
      </c>
    </row>
    <row r="993" spans="1:4">
      <c r="A993" s="2" t="s">
        <v>3503</v>
      </c>
      <c r="B993" t="s">
        <v>561</v>
      </c>
      <c r="C993" t="s">
        <v>534</v>
      </c>
      <c r="D993" t="s">
        <v>543</v>
      </c>
    </row>
    <row r="994" spans="1:4">
      <c r="A994" s="2" t="s">
        <v>3504</v>
      </c>
      <c r="B994" t="s">
        <v>561</v>
      </c>
      <c r="C994" t="s">
        <v>538</v>
      </c>
      <c r="D994" t="s">
        <v>546</v>
      </c>
    </row>
    <row r="995" spans="1:4">
      <c r="A995" t="s">
        <v>3505</v>
      </c>
      <c r="B995" t="s">
        <v>561</v>
      </c>
      <c r="C995" t="s">
        <v>534</v>
      </c>
      <c r="D995" t="s">
        <v>543</v>
      </c>
    </row>
    <row r="996" spans="1:4">
      <c r="A996" s="2" t="s">
        <v>3506</v>
      </c>
      <c r="B996" t="s">
        <v>561</v>
      </c>
      <c r="C996" t="s">
        <v>534</v>
      </c>
      <c r="D996" t="s">
        <v>543</v>
      </c>
    </row>
    <row r="997" spans="1:4">
      <c r="A997" s="2" t="s">
        <v>3507</v>
      </c>
      <c r="B997" t="s">
        <v>561</v>
      </c>
      <c r="C997" t="s">
        <v>534</v>
      </c>
      <c r="D997" t="s">
        <v>543</v>
      </c>
    </row>
    <row r="998" spans="1:4">
      <c r="A998" s="2" t="s">
        <v>3508</v>
      </c>
      <c r="B998" t="s">
        <v>561</v>
      </c>
      <c r="C998" t="s">
        <v>534</v>
      </c>
      <c r="D998" t="s">
        <v>543</v>
      </c>
    </row>
    <row r="999" spans="1:4">
      <c r="A999" s="2" t="s">
        <v>3509</v>
      </c>
      <c r="B999" t="s">
        <v>561</v>
      </c>
      <c r="C999" t="s">
        <v>534</v>
      </c>
      <c r="D999" t="s">
        <v>543</v>
      </c>
    </row>
    <row r="1000" spans="1:4">
      <c r="A1000" s="2" t="s">
        <v>3510</v>
      </c>
      <c r="B1000" t="s">
        <v>561</v>
      </c>
      <c r="C1000" t="s">
        <v>534</v>
      </c>
      <c r="D1000" t="s">
        <v>543</v>
      </c>
    </row>
    <row r="1001" spans="1:4">
      <c r="A1001" s="2" t="s">
        <v>3511</v>
      </c>
      <c r="B1001" t="s">
        <v>561</v>
      </c>
      <c r="C1001" t="s">
        <v>538</v>
      </c>
      <c r="D1001" t="s">
        <v>546</v>
      </c>
    </row>
    <row r="1002" spans="1:4">
      <c r="A1002" s="2" t="s">
        <v>3512</v>
      </c>
      <c r="B1002" t="s">
        <v>562</v>
      </c>
      <c r="C1002" t="s">
        <v>533</v>
      </c>
      <c r="D1002" t="s">
        <v>544</v>
      </c>
    </row>
    <row r="1003" spans="1:4">
      <c r="A1003" s="2" t="s">
        <v>3513</v>
      </c>
      <c r="B1003" t="s">
        <v>561</v>
      </c>
      <c r="C1003" t="s">
        <v>534</v>
      </c>
      <c r="D1003" t="s">
        <v>543</v>
      </c>
    </row>
    <row r="1004" spans="1:4">
      <c r="A1004" s="2" t="s">
        <v>3514</v>
      </c>
      <c r="B1004" t="s">
        <v>561</v>
      </c>
      <c r="C1004" t="s">
        <v>534</v>
      </c>
      <c r="D1004" t="s">
        <v>543</v>
      </c>
    </row>
    <row r="1005" spans="1:4">
      <c r="A1005" s="2" t="s">
        <v>3515</v>
      </c>
      <c r="B1005" t="s">
        <v>561</v>
      </c>
      <c r="C1005" t="s">
        <v>534</v>
      </c>
      <c r="D1005" t="s">
        <v>543</v>
      </c>
    </row>
    <row r="1006" spans="1:4">
      <c r="A1006" s="2" t="s">
        <v>3516</v>
      </c>
      <c r="B1006" t="s">
        <v>561</v>
      </c>
      <c r="C1006" t="s">
        <v>534</v>
      </c>
      <c r="D1006" t="s">
        <v>543</v>
      </c>
    </row>
    <row r="1007" spans="1:4">
      <c r="A1007" s="2" t="s">
        <v>3517</v>
      </c>
      <c r="B1007" t="s">
        <v>561</v>
      </c>
      <c r="C1007" t="s">
        <v>534</v>
      </c>
      <c r="D1007" t="s">
        <v>543</v>
      </c>
    </row>
    <row r="1008" spans="1:4">
      <c r="A1008" s="2" t="s">
        <v>3518</v>
      </c>
      <c r="B1008" t="s">
        <v>561</v>
      </c>
      <c r="C1008" t="s">
        <v>534</v>
      </c>
      <c r="D1008" t="s">
        <v>543</v>
      </c>
    </row>
    <row r="1009" spans="1:4">
      <c r="A1009" s="2" t="s">
        <v>3519</v>
      </c>
      <c r="B1009" t="s">
        <v>561</v>
      </c>
      <c r="C1009" t="s">
        <v>534</v>
      </c>
      <c r="D1009" t="s">
        <v>543</v>
      </c>
    </row>
    <row r="1010" spans="1:4">
      <c r="A1010" s="2" t="s">
        <v>3520</v>
      </c>
      <c r="B1010" t="s">
        <v>561</v>
      </c>
      <c r="C1010" t="s">
        <v>534</v>
      </c>
      <c r="D1010" t="s">
        <v>543</v>
      </c>
    </row>
    <row r="1011" spans="1:4">
      <c r="A1011" t="s">
        <v>3570</v>
      </c>
      <c r="B1011" t="s">
        <v>561</v>
      </c>
      <c r="C1011" t="s">
        <v>534</v>
      </c>
      <c r="D1011" t="s">
        <v>543</v>
      </c>
    </row>
    <row r="1012" spans="1:4">
      <c r="A1012" s="2" t="s">
        <v>3562</v>
      </c>
      <c r="B1012" t="s">
        <v>561</v>
      </c>
      <c r="C1012" t="s">
        <v>534</v>
      </c>
      <c r="D1012" t="s">
        <v>543</v>
      </c>
    </row>
    <row r="1013" spans="1:4">
      <c r="A1013" s="2" t="s">
        <v>3574</v>
      </c>
      <c r="B1013" t="s">
        <v>561</v>
      </c>
      <c r="C1013" t="s">
        <v>534</v>
      </c>
      <c r="D1013" t="s">
        <v>543</v>
      </c>
    </row>
    <row r="1014" spans="1:4">
      <c r="A1014" s="2" t="s">
        <v>3577</v>
      </c>
      <c r="B1014" t="s">
        <v>561</v>
      </c>
      <c r="C1014" t="s">
        <v>534</v>
      </c>
      <c r="D1014" t="s">
        <v>543</v>
      </c>
    </row>
    <row r="1015" spans="1:4">
      <c r="A1015" t="s">
        <v>3582</v>
      </c>
      <c r="B1015" t="s">
        <v>561</v>
      </c>
      <c r="C1015" t="s">
        <v>534</v>
      </c>
      <c r="D1015" t="s">
        <v>543</v>
      </c>
    </row>
    <row r="1016" spans="1:4">
      <c r="A1016" s="2" t="s">
        <v>3575</v>
      </c>
      <c r="B1016" t="s">
        <v>561</v>
      </c>
      <c r="C1016" t="s">
        <v>534</v>
      </c>
      <c r="D1016" t="s">
        <v>543</v>
      </c>
    </row>
    <row r="1017" spans="1:4">
      <c r="A1017" s="2" t="s">
        <v>3585</v>
      </c>
      <c r="B1017" t="s">
        <v>561</v>
      </c>
      <c r="C1017" t="s">
        <v>534</v>
      </c>
      <c r="D1017" t="s">
        <v>543</v>
      </c>
    </row>
    <row r="1018" spans="1:4">
      <c r="A1018" s="2" t="s">
        <v>3626</v>
      </c>
      <c r="B1018" t="s">
        <v>561</v>
      </c>
      <c r="C1018" t="s">
        <v>541</v>
      </c>
      <c r="D1018" t="s">
        <v>547</v>
      </c>
    </row>
    <row r="1019" spans="1:4">
      <c r="A1019" s="2" t="s">
        <v>3643</v>
      </c>
      <c r="B1019" t="s">
        <v>561</v>
      </c>
      <c r="C1019" t="s">
        <v>538</v>
      </c>
      <c r="D1019" t="s">
        <v>545</v>
      </c>
    </row>
    <row r="1020" spans="1:4">
      <c r="A1020" s="2" t="s">
        <v>3646</v>
      </c>
      <c r="B1020" t="s">
        <v>561</v>
      </c>
      <c r="C1020" t="s">
        <v>541</v>
      </c>
      <c r="D1020" t="s">
        <v>545</v>
      </c>
    </row>
    <row r="1021" spans="1:4">
      <c r="A1021" s="2" t="s">
        <v>3656</v>
      </c>
      <c r="B1021" t="s">
        <v>561</v>
      </c>
      <c r="C1021" t="s">
        <v>540</v>
      </c>
      <c r="D1021" t="s">
        <v>543</v>
      </c>
    </row>
    <row r="1022" spans="1:4">
      <c r="A1022" s="2" t="s">
        <v>3661</v>
      </c>
      <c r="B1022" t="s">
        <v>561</v>
      </c>
      <c r="C1022" t="s">
        <v>540</v>
      </c>
      <c r="D1022" t="s">
        <v>543</v>
      </c>
    </row>
    <row r="1023" spans="1:4">
      <c r="A1023" s="2" t="s">
        <v>3660</v>
      </c>
      <c r="B1023" t="s">
        <v>561</v>
      </c>
      <c r="C1023" t="s">
        <v>540</v>
      </c>
      <c r="D1023" t="s">
        <v>543</v>
      </c>
    </row>
    <row r="1024" spans="1:4">
      <c r="A1024" s="2" t="s">
        <v>3667</v>
      </c>
      <c r="B1024" t="s">
        <v>561</v>
      </c>
      <c r="C1024" t="s">
        <v>540</v>
      </c>
      <c r="D1024" t="s">
        <v>543</v>
      </c>
    </row>
    <row r="1025" spans="1:4">
      <c r="A1025" s="2" t="s">
        <v>3669</v>
      </c>
      <c r="B1025" t="s">
        <v>561</v>
      </c>
      <c r="C1025" t="s">
        <v>534</v>
      </c>
      <c r="D1025" t="s">
        <v>543</v>
      </c>
    </row>
    <row r="1026" spans="1:4">
      <c r="A1026" s="2" t="s">
        <v>3672</v>
      </c>
      <c r="B1026" t="s">
        <v>561</v>
      </c>
      <c r="C1026" t="s">
        <v>535</v>
      </c>
      <c r="D1026" t="s">
        <v>546</v>
      </c>
    </row>
    <row r="1027" spans="1:4">
      <c r="A1027" s="2" t="s">
        <v>3677</v>
      </c>
      <c r="B1027" t="s">
        <v>561</v>
      </c>
      <c r="C1027" t="s">
        <v>538</v>
      </c>
      <c r="D1027" t="s">
        <v>543</v>
      </c>
    </row>
    <row r="1028" spans="1:4">
      <c r="A1028" s="2" t="s">
        <v>3678</v>
      </c>
      <c r="B1028" t="s">
        <v>561</v>
      </c>
      <c r="C1028" t="s">
        <v>538</v>
      </c>
      <c r="D1028" t="s">
        <v>543</v>
      </c>
    </row>
    <row r="1029" spans="1:4">
      <c r="A1029" s="2" t="s">
        <v>3682</v>
      </c>
      <c r="B1029" t="s">
        <v>561</v>
      </c>
      <c r="C1029" t="s">
        <v>534</v>
      </c>
      <c r="D1029" t="s">
        <v>543</v>
      </c>
    </row>
    <row r="1030" spans="1:4">
      <c r="A1030" s="2" t="s">
        <v>3684</v>
      </c>
      <c r="B1030" t="s">
        <v>561</v>
      </c>
      <c r="C1030" t="s">
        <v>540</v>
      </c>
      <c r="D1030" t="s">
        <v>3652</v>
      </c>
    </row>
    <row r="1031" spans="1:4">
      <c r="A1031" s="2" t="s">
        <v>3689</v>
      </c>
      <c r="B1031" t="s">
        <v>561</v>
      </c>
      <c r="C1031" t="s">
        <v>538</v>
      </c>
      <c r="D1031" t="s">
        <v>543</v>
      </c>
    </row>
    <row r="1032" spans="1:4">
      <c r="A1032" s="2" t="s">
        <v>3690</v>
      </c>
      <c r="B1032" t="s">
        <v>561</v>
      </c>
      <c r="C1032" t="s">
        <v>538</v>
      </c>
      <c r="D1032" t="s">
        <v>543</v>
      </c>
    </row>
    <row r="1033" spans="1:4">
      <c r="A1033" s="2" t="s">
        <v>3692</v>
      </c>
      <c r="B1033" t="s">
        <v>561</v>
      </c>
      <c r="C1033" t="s">
        <v>540</v>
      </c>
      <c r="D1033" t="s">
        <v>543</v>
      </c>
    </row>
    <row r="1034" spans="1:4">
      <c r="A1034" s="2" t="s">
        <v>3691</v>
      </c>
      <c r="B1034" t="s">
        <v>561</v>
      </c>
      <c r="C1034" t="s">
        <v>540</v>
      </c>
      <c r="D1034" t="s">
        <v>543</v>
      </c>
    </row>
    <row r="1035" spans="1:4">
      <c r="A1035" s="2" t="s">
        <v>3698</v>
      </c>
      <c r="B1035" t="s">
        <v>561</v>
      </c>
      <c r="C1035" t="s">
        <v>540</v>
      </c>
      <c r="D1035" t="s">
        <v>543</v>
      </c>
    </row>
    <row r="1036" spans="1:4">
      <c r="A1036" s="2" t="s">
        <v>3700</v>
      </c>
      <c r="B1036" t="s">
        <v>561</v>
      </c>
      <c r="C1036" t="s">
        <v>541</v>
      </c>
      <c r="D1036" t="s">
        <v>548</v>
      </c>
    </row>
    <row r="1037" spans="1:4">
      <c r="A1037" s="2" t="s">
        <v>3701</v>
      </c>
      <c r="B1037" t="s">
        <v>561</v>
      </c>
      <c r="C1037" t="s">
        <v>536</v>
      </c>
      <c r="D1037" t="s">
        <v>547</v>
      </c>
    </row>
    <row r="1038" spans="1:4">
      <c r="A1038" s="2" t="s">
        <v>3702</v>
      </c>
      <c r="B1038" t="s">
        <v>561</v>
      </c>
      <c r="C1038" t="s">
        <v>541</v>
      </c>
      <c r="D1038" t="s">
        <v>548</v>
      </c>
    </row>
    <row r="1039" spans="1:4">
      <c r="A1039" s="2" t="s">
        <v>3703</v>
      </c>
      <c r="B1039" t="s">
        <v>561</v>
      </c>
      <c r="C1039" t="s">
        <v>534</v>
      </c>
      <c r="D1039" t="s">
        <v>543</v>
      </c>
    </row>
    <row r="1040" spans="1:4">
      <c r="A1040" s="2" t="s">
        <v>3706</v>
      </c>
      <c r="B1040" t="s">
        <v>561</v>
      </c>
      <c r="C1040" t="s">
        <v>540</v>
      </c>
      <c r="D1040" t="s">
        <v>1897</v>
      </c>
    </row>
    <row r="1041" spans="1:4">
      <c r="A1041" s="2" t="s">
        <v>3708</v>
      </c>
      <c r="B1041" t="s">
        <v>561</v>
      </c>
      <c r="C1041" t="s">
        <v>534</v>
      </c>
      <c r="D1041" t="s">
        <v>543</v>
      </c>
    </row>
    <row r="1042" spans="1:4">
      <c r="A1042" s="2" t="s">
        <v>3712</v>
      </c>
      <c r="B1042" t="s">
        <v>561</v>
      </c>
      <c r="C1042" t="s">
        <v>540</v>
      </c>
      <c r="D1042" t="s">
        <v>1897</v>
      </c>
    </row>
    <row r="1043" spans="1:4">
      <c r="A1043" s="2" t="s">
        <v>3714</v>
      </c>
      <c r="B1043" t="s">
        <v>561</v>
      </c>
      <c r="C1043" t="s">
        <v>534</v>
      </c>
      <c r="D1043" t="s">
        <v>543</v>
      </c>
    </row>
    <row r="1044" spans="1:4">
      <c r="A1044" t="s">
        <v>3719</v>
      </c>
      <c r="B1044" t="s">
        <v>561</v>
      </c>
      <c r="C1044" t="s">
        <v>534</v>
      </c>
      <c r="D1044" t="s">
        <v>543</v>
      </c>
    </row>
    <row r="1045" spans="1:4">
      <c r="A1045" t="s">
        <v>3717</v>
      </c>
      <c r="B1045" t="s">
        <v>561</v>
      </c>
      <c r="C1045" t="s">
        <v>534</v>
      </c>
      <c r="D1045" t="s">
        <v>543</v>
      </c>
    </row>
    <row r="1046" spans="1:4">
      <c r="B1046" t="s">
        <v>561</v>
      </c>
      <c r="C1046" t="s">
        <v>534</v>
      </c>
      <c r="D1046" t="s">
        <v>543</v>
      </c>
    </row>
    <row r="1047" spans="1:4">
      <c r="B1047" t="s">
        <v>561</v>
      </c>
      <c r="C1047" t="s">
        <v>534</v>
      </c>
      <c r="D1047" t="s">
        <v>543</v>
      </c>
    </row>
    <row r="1048" spans="1:4">
      <c r="B1048" t="s">
        <v>561</v>
      </c>
      <c r="C1048" t="s">
        <v>534</v>
      </c>
      <c r="D1048" t="s">
        <v>543</v>
      </c>
    </row>
    <row r="1049" spans="1:4">
      <c r="B1049" t="s">
        <v>561</v>
      </c>
      <c r="C1049" t="s">
        <v>534</v>
      </c>
      <c r="D1049" t="s">
        <v>543</v>
      </c>
    </row>
    <row r="1050" spans="1:4">
      <c r="B1050" t="s">
        <v>561</v>
      </c>
      <c r="C1050" t="s">
        <v>534</v>
      </c>
      <c r="D1050" t="s">
        <v>543</v>
      </c>
    </row>
    <row r="1051" spans="1:4">
      <c r="B1051" t="s">
        <v>561</v>
      </c>
      <c r="C1051" t="s">
        <v>534</v>
      </c>
      <c r="D1051" t="s">
        <v>543</v>
      </c>
    </row>
    <row r="1052" spans="1:4">
      <c r="B1052" t="s">
        <v>561</v>
      </c>
      <c r="C1052" t="s">
        <v>534</v>
      </c>
      <c r="D1052" t="s">
        <v>543</v>
      </c>
    </row>
    <row r="1053" spans="1:4">
      <c r="B1053" t="s">
        <v>561</v>
      </c>
      <c r="C1053" t="s">
        <v>534</v>
      </c>
      <c r="D1053" t="s">
        <v>543</v>
      </c>
    </row>
    <row r="1054" spans="1:4">
      <c r="B1054" t="s">
        <v>561</v>
      </c>
      <c r="C1054" t="s">
        <v>534</v>
      </c>
      <c r="D1054" t="s">
        <v>543</v>
      </c>
    </row>
    <row r="1055" spans="1:4">
      <c r="B1055" t="s">
        <v>561</v>
      </c>
      <c r="C1055" t="s">
        <v>534</v>
      </c>
      <c r="D1055" t="s">
        <v>543</v>
      </c>
    </row>
    <row r="1056" spans="1:4">
      <c r="B1056" t="s">
        <v>561</v>
      </c>
      <c r="C1056" t="s">
        <v>534</v>
      </c>
      <c r="D1056" t="s">
        <v>543</v>
      </c>
    </row>
    <row r="1057" spans="2:4">
      <c r="B1057" t="s">
        <v>561</v>
      </c>
      <c r="C1057" t="s">
        <v>534</v>
      </c>
      <c r="D1057" t="s">
        <v>543</v>
      </c>
    </row>
    <row r="1058" spans="2:4">
      <c r="B1058" t="s">
        <v>561</v>
      </c>
      <c r="C1058" t="s">
        <v>534</v>
      </c>
      <c r="D1058" t="s">
        <v>543</v>
      </c>
    </row>
    <row r="1059" spans="2:4">
      <c r="B1059" t="s">
        <v>561</v>
      </c>
      <c r="C1059" t="s">
        <v>534</v>
      </c>
      <c r="D1059" t="s">
        <v>543</v>
      </c>
    </row>
    <row r="1060" spans="2:4">
      <c r="B1060" t="s">
        <v>561</v>
      </c>
      <c r="C1060" t="s">
        <v>534</v>
      </c>
      <c r="D1060" t="s">
        <v>543</v>
      </c>
    </row>
    <row r="1061" spans="2:4">
      <c r="B1061" t="s">
        <v>561</v>
      </c>
      <c r="C1061" t="s">
        <v>534</v>
      </c>
      <c r="D1061" t="s">
        <v>543</v>
      </c>
    </row>
    <row r="1062" spans="2:4">
      <c r="B1062" t="s">
        <v>561</v>
      </c>
      <c r="C1062" t="s">
        <v>534</v>
      </c>
      <c r="D1062" t="s">
        <v>543</v>
      </c>
    </row>
    <row r="1063" spans="2:4">
      <c r="B1063" t="s">
        <v>561</v>
      </c>
      <c r="C1063" t="s">
        <v>534</v>
      </c>
      <c r="D1063" t="s">
        <v>543</v>
      </c>
    </row>
    <row r="1064" spans="2:4">
      <c r="B1064" t="s">
        <v>561</v>
      </c>
      <c r="C1064" t="s">
        <v>534</v>
      </c>
      <c r="D1064" t="s">
        <v>543</v>
      </c>
    </row>
    <row r="1065" spans="2:4">
      <c r="B1065" t="s">
        <v>561</v>
      </c>
      <c r="C1065" t="s">
        <v>534</v>
      </c>
      <c r="D1065" t="s">
        <v>543</v>
      </c>
    </row>
    <row r="1066" spans="2:4">
      <c r="B1066" t="s">
        <v>561</v>
      </c>
      <c r="C1066" t="s">
        <v>534</v>
      </c>
      <c r="D1066" t="s">
        <v>543</v>
      </c>
    </row>
    <row r="1067" spans="2:4">
      <c r="B1067" t="s">
        <v>561</v>
      </c>
      <c r="C1067" t="s">
        <v>534</v>
      </c>
      <c r="D1067" t="s">
        <v>543</v>
      </c>
    </row>
    <row r="1068" spans="2:4">
      <c r="B1068" t="s">
        <v>561</v>
      </c>
      <c r="C1068" t="s">
        <v>534</v>
      </c>
      <c r="D1068" t="s">
        <v>543</v>
      </c>
    </row>
    <row r="1069" spans="2:4">
      <c r="B1069" t="s">
        <v>561</v>
      </c>
      <c r="C1069" t="s">
        <v>534</v>
      </c>
      <c r="D1069" t="s">
        <v>543</v>
      </c>
    </row>
    <row r="1070" spans="2:4">
      <c r="B1070" t="s">
        <v>561</v>
      </c>
      <c r="C1070" t="s">
        <v>534</v>
      </c>
      <c r="D1070" t="s">
        <v>543</v>
      </c>
    </row>
    <row r="1071" spans="2:4">
      <c r="B1071" t="s">
        <v>561</v>
      </c>
      <c r="C1071" t="s">
        <v>534</v>
      </c>
      <c r="D1071" t="s">
        <v>543</v>
      </c>
    </row>
    <row r="1072" spans="2:4">
      <c r="B1072" t="s">
        <v>561</v>
      </c>
      <c r="C1072" t="s">
        <v>534</v>
      </c>
      <c r="D1072" t="s">
        <v>543</v>
      </c>
    </row>
    <row r="1073" spans="2:4">
      <c r="B1073" t="s">
        <v>561</v>
      </c>
      <c r="C1073" t="s">
        <v>534</v>
      </c>
      <c r="D1073" t="s">
        <v>543</v>
      </c>
    </row>
    <row r="1074" spans="2:4">
      <c r="B1074" t="s">
        <v>561</v>
      </c>
      <c r="C1074" t="s">
        <v>534</v>
      </c>
      <c r="D1074" t="s">
        <v>543</v>
      </c>
    </row>
    <row r="1075" spans="2:4">
      <c r="B1075" t="s">
        <v>561</v>
      </c>
      <c r="C1075" t="s">
        <v>534</v>
      </c>
      <c r="D1075" t="s">
        <v>543</v>
      </c>
    </row>
    <row r="1076" spans="2:4">
      <c r="B1076" t="s">
        <v>561</v>
      </c>
      <c r="C1076" t="s">
        <v>534</v>
      </c>
      <c r="D1076" t="s">
        <v>543</v>
      </c>
    </row>
    <row r="1077" spans="2:4">
      <c r="B1077" t="s">
        <v>561</v>
      </c>
      <c r="C1077" t="s">
        <v>534</v>
      </c>
      <c r="D1077" t="s">
        <v>543</v>
      </c>
    </row>
    <row r="1078" spans="2:4">
      <c r="B1078" t="s">
        <v>561</v>
      </c>
      <c r="C1078" t="s">
        <v>534</v>
      </c>
      <c r="D1078" t="s">
        <v>543</v>
      </c>
    </row>
    <row r="1079" spans="2:4">
      <c r="B1079" t="s">
        <v>561</v>
      </c>
      <c r="C1079" t="s">
        <v>534</v>
      </c>
      <c r="D1079" t="s">
        <v>543</v>
      </c>
    </row>
    <row r="1080" spans="2:4">
      <c r="B1080" t="s">
        <v>561</v>
      </c>
      <c r="C1080" t="s">
        <v>534</v>
      </c>
      <c r="D1080" t="s">
        <v>543</v>
      </c>
    </row>
    <row r="1081" spans="2:4">
      <c r="B1081" t="s">
        <v>561</v>
      </c>
      <c r="C1081" t="s">
        <v>534</v>
      </c>
      <c r="D1081" t="s">
        <v>543</v>
      </c>
    </row>
    <row r="1082" spans="2:4">
      <c r="B1082" t="s">
        <v>561</v>
      </c>
      <c r="C1082" t="s">
        <v>534</v>
      </c>
      <c r="D1082" t="s">
        <v>543</v>
      </c>
    </row>
    <row r="1083" spans="2:4">
      <c r="B1083" t="s">
        <v>561</v>
      </c>
      <c r="C1083" t="s">
        <v>534</v>
      </c>
      <c r="D1083" t="s">
        <v>543</v>
      </c>
    </row>
    <row r="1084" spans="2:4">
      <c r="B1084" t="s">
        <v>561</v>
      </c>
      <c r="C1084" t="s">
        <v>534</v>
      </c>
      <c r="D1084" t="s">
        <v>543</v>
      </c>
    </row>
    <row r="1085" spans="2:4">
      <c r="B1085" t="s">
        <v>561</v>
      </c>
      <c r="C1085" t="s">
        <v>534</v>
      </c>
      <c r="D1085" t="s">
        <v>543</v>
      </c>
    </row>
    <row r="1086" spans="2:4">
      <c r="B1086" t="s">
        <v>561</v>
      </c>
      <c r="C1086" t="s">
        <v>534</v>
      </c>
      <c r="D1086" t="s">
        <v>543</v>
      </c>
    </row>
    <row r="1087" spans="2:4">
      <c r="B1087" t="s">
        <v>561</v>
      </c>
      <c r="C1087" t="s">
        <v>534</v>
      </c>
      <c r="D1087" t="s">
        <v>543</v>
      </c>
    </row>
    <row r="1088" spans="2:4">
      <c r="B1088" t="s">
        <v>561</v>
      </c>
      <c r="C1088" t="s">
        <v>534</v>
      </c>
      <c r="D1088" t="s">
        <v>543</v>
      </c>
    </row>
    <row r="1089" spans="2:4">
      <c r="B1089" t="s">
        <v>561</v>
      </c>
      <c r="C1089" t="s">
        <v>534</v>
      </c>
      <c r="D1089" t="s">
        <v>543</v>
      </c>
    </row>
    <row r="1090" spans="2:4">
      <c r="B1090" t="s">
        <v>561</v>
      </c>
      <c r="C1090" t="s">
        <v>534</v>
      </c>
      <c r="D1090" t="s">
        <v>543</v>
      </c>
    </row>
    <row r="1091" spans="2:4">
      <c r="B1091" t="s">
        <v>561</v>
      </c>
      <c r="C1091" t="s">
        <v>534</v>
      </c>
      <c r="D1091" t="s">
        <v>543</v>
      </c>
    </row>
    <row r="1092" spans="2:4">
      <c r="B1092" t="s">
        <v>561</v>
      </c>
      <c r="C1092" t="s">
        <v>534</v>
      </c>
      <c r="D1092" t="s">
        <v>543</v>
      </c>
    </row>
    <row r="1093" spans="2:4">
      <c r="B1093" t="s">
        <v>561</v>
      </c>
      <c r="C1093" t="s">
        <v>534</v>
      </c>
      <c r="D1093" t="s">
        <v>543</v>
      </c>
    </row>
    <row r="1094" spans="2:4">
      <c r="B1094" t="s">
        <v>561</v>
      </c>
      <c r="C1094" t="s">
        <v>534</v>
      </c>
      <c r="D1094" t="s">
        <v>543</v>
      </c>
    </row>
    <row r="1095" spans="2:4">
      <c r="B1095" t="s">
        <v>561</v>
      </c>
      <c r="C1095" t="s">
        <v>534</v>
      </c>
      <c r="D1095" t="s">
        <v>543</v>
      </c>
    </row>
    <row r="1096" spans="2:4">
      <c r="B1096" t="s">
        <v>561</v>
      </c>
      <c r="C1096" t="s">
        <v>534</v>
      </c>
      <c r="D1096" t="s">
        <v>543</v>
      </c>
    </row>
    <row r="1097" spans="2:4">
      <c r="B1097" t="s">
        <v>561</v>
      </c>
      <c r="C1097" t="s">
        <v>534</v>
      </c>
      <c r="D1097" t="s">
        <v>543</v>
      </c>
    </row>
    <row r="1098" spans="2:4">
      <c r="B1098" t="s">
        <v>561</v>
      </c>
      <c r="C1098" t="s">
        <v>534</v>
      </c>
      <c r="D1098" t="s">
        <v>543</v>
      </c>
    </row>
    <row r="1099" spans="2:4">
      <c r="B1099" t="s">
        <v>561</v>
      </c>
      <c r="C1099" t="s">
        <v>534</v>
      </c>
      <c r="D1099" t="s">
        <v>543</v>
      </c>
    </row>
    <row r="1100" spans="2:4">
      <c r="B1100" t="s">
        <v>561</v>
      </c>
      <c r="C1100" t="s">
        <v>534</v>
      </c>
      <c r="D1100" t="s">
        <v>543</v>
      </c>
    </row>
    <row r="1101" spans="2:4">
      <c r="B1101" t="s">
        <v>561</v>
      </c>
      <c r="C1101" t="s">
        <v>534</v>
      </c>
      <c r="D1101" t="s">
        <v>543</v>
      </c>
    </row>
    <row r="1102" spans="2:4">
      <c r="B1102" t="s">
        <v>561</v>
      </c>
      <c r="C1102" t="s">
        <v>534</v>
      </c>
      <c r="D1102" t="s">
        <v>543</v>
      </c>
    </row>
    <row r="1103" spans="2:4">
      <c r="B1103" t="s">
        <v>561</v>
      </c>
      <c r="C1103" t="s">
        <v>534</v>
      </c>
      <c r="D1103" t="s">
        <v>543</v>
      </c>
    </row>
    <row r="1104" spans="2:4">
      <c r="B1104" t="s">
        <v>561</v>
      </c>
      <c r="C1104" t="s">
        <v>534</v>
      </c>
      <c r="D1104" t="s">
        <v>543</v>
      </c>
    </row>
    <row r="1105" spans="2:4">
      <c r="B1105" t="s">
        <v>561</v>
      </c>
      <c r="C1105" t="s">
        <v>534</v>
      </c>
      <c r="D1105" t="s">
        <v>543</v>
      </c>
    </row>
    <row r="1106" spans="2:4">
      <c r="B1106" t="s">
        <v>561</v>
      </c>
      <c r="C1106" t="s">
        <v>534</v>
      </c>
      <c r="D1106" t="s">
        <v>543</v>
      </c>
    </row>
    <row r="1107" spans="2:4">
      <c r="B1107" t="s">
        <v>561</v>
      </c>
      <c r="C1107" t="s">
        <v>534</v>
      </c>
      <c r="D1107" t="s">
        <v>543</v>
      </c>
    </row>
    <row r="1108" spans="2:4">
      <c r="B1108" t="s">
        <v>561</v>
      </c>
      <c r="C1108" t="s">
        <v>534</v>
      </c>
      <c r="D1108" t="s">
        <v>543</v>
      </c>
    </row>
    <row r="1109" spans="2:4">
      <c r="B1109" t="s">
        <v>561</v>
      </c>
      <c r="C1109" t="s">
        <v>534</v>
      </c>
      <c r="D1109" t="s">
        <v>543</v>
      </c>
    </row>
    <row r="1110" spans="2:4">
      <c r="B1110" t="s">
        <v>561</v>
      </c>
      <c r="C1110" t="s">
        <v>534</v>
      </c>
      <c r="D1110" t="s">
        <v>543</v>
      </c>
    </row>
    <row r="1111" spans="2:4">
      <c r="B1111" t="s">
        <v>561</v>
      </c>
      <c r="C1111" t="s">
        <v>534</v>
      </c>
      <c r="D1111" t="s">
        <v>543</v>
      </c>
    </row>
    <row r="1112" spans="2:4">
      <c r="B1112" t="s">
        <v>561</v>
      </c>
      <c r="C1112" t="s">
        <v>534</v>
      </c>
      <c r="D1112" t="s">
        <v>543</v>
      </c>
    </row>
    <row r="1113" spans="2:4">
      <c r="B1113" t="s">
        <v>561</v>
      </c>
      <c r="C1113" t="s">
        <v>534</v>
      </c>
      <c r="D1113" t="s">
        <v>543</v>
      </c>
    </row>
    <row r="1114" spans="2:4">
      <c r="B1114" t="s">
        <v>561</v>
      </c>
      <c r="C1114" t="s">
        <v>534</v>
      </c>
      <c r="D1114" t="s">
        <v>543</v>
      </c>
    </row>
    <row r="1115" spans="2:4">
      <c r="B1115" t="s">
        <v>561</v>
      </c>
      <c r="C1115" t="s">
        <v>534</v>
      </c>
      <c r="D1115" t="s">
        <v>543</v>
      </c>
    </row>
    <row r="1116" spans="2:4">
      <c r="B1116" t="s">
        <v>561</v>
      </c>
      <c r="C1116" t="s">
        <v>534</v>
      </c>
      <c r="D1116" t="s">
        <v>543</v>
      </c>
    </row>
    <row r="1117" spans="2:4">
      <c r="B1117" t="s">
        <v>561</v>
      </c>
      <c r="C1117" t="s">
        <v>534</v>
      </c>
      <c r="D1117" t="s">
        <v>543</v>
      </c>
    </row>
    <row r="1118" spans="2:4">
      <c r="B1118" t="s">
        <v>561</v>
      </c>
      <c r="C1118" t="s">
        <v>534</v>
      </c>
      <c r="D1118" t="s">
        <v>543</v>
      </c>
    </row>
    <row r="1119" spans="2:4">
      <c r="B1119" t="s">
        <v>561</v>
      </c>
      <c r="C1119" t="s">
        <v>534</v>
      </c>
      <c r="D1119" t="s">
        <v>543</v>
      </c>
    </row>
    <row r="1120" spans="2:4">
      <c r="B1120" t="s">
        <v>561</v>
      </c>
      <c r="C1120" t="s">
        <v>534</v>
      </c>
      <c r="D1120" t="s">
        <v>543</v>
      </c>
    </row>
    <row r="1121" spans="2:4">
      <c r="B1121" t="s">
        <v>561</v>
      </c>
      <c r="C1121" t="s">
        <v>534</v>
      </c>
      <c r="D1121" t="s">
        <v>543</v>
      </c>
    </row>
    <row r="1122" spans="2:4">
      <c r="B1122" t="s">
        <v>561</v>
      </c>
      <c r="C1122" t="s">
        <v>534</v>
      </c>
      <c r="D1122" t="s">
        <v>543</v>
      </c>
    </row>
    <row r="1123" spans="2:4">
      <c r="B1123" t="s">
        <v>561</v>
      </c>
      <c r="C1123" t="s">
        <v>534</v>
      </c>
      <c r="D1123" t="s">
        <v>543</v>
      </c>
    </row>
    <row r="1124" spans="2:4">
      <c r="B1124" t="s">
        <v>561</v>
      </c>
      <c r="C1124" t="s">
        <v>534</v>
      </c>
      <c r="D1124" t="s">
        <v>543</v>
      </c>
    </row>
    <row r="1125" spans="2:4">
      <c r="B1125" t="s">
        <v>561</v>
      </c>
      <c r="C1125" t="s">
        <v>534</v>
      </c>
      <c r="D1125" t="s">
        <v>543</v>
      </c>
    </row>
    <row r="1126" spans="2:4">
      <c r="B1126" t="s">
        <v>561</v>
      </c>
      <c r="C1126" t="s">
        <v>534</v>
      </c>
      <c r="D1126" t="s">
        <v>543</v>
      </c>
    </row>
    <row r="1127" spans="2:4">
      <c r="B1127" t="s">
        <v>561</v>
      </c>
      <c r="C1127" t="s">
        <v>534</v>
      </c>
      <c r="D1127" t="s">
        <v>543</v>
      </c>
    </row>
    <row r="1128" spans="2:4">
      <c r="B1128" t="s">
        <v>561</v>
      </c>
      <c r="C1128" t="s">
        <v>534</v>
      </c>
      <c r="D1128" t="s">
        <v>543</v>
      </c>
    </row>
    <row r="1129" spans="2:4">
      <c r="B1129" t="s">
        <v>561</v>
      </c>
      <c r="C1129" t="s">
        <v>534</v>
      </c>
      <c r="D1129" t="s">
        <v>543</v>
      </c>
    </row>
    <row r="1130" spans="2:4">
      <c r="B1130" t="s">
        <v>561</v>
      </c>
      <c r="C1130" t="s">
        <v>534</v>
      </c>
      <c r="D1130" t="s">
        <v>543</v>
      </c>
    </row>
    <row r="1131" spans="2:4">
      <c r="B1131" t="s">
        <v>561</v>
      </c>
      <c r="C1131" t="s">
        <v>534</v>
      </c>
      <c r="D1131" t="s">
        <v>543</v>
      </c>
    </row>
    <row r="1132" spans="2:4">
      <c r="B1132" t="s">
        <v>561</v>
      </c>
      <c r="C1132" t="s">
        <v>534</v>
      </c>
      <c r="D1132" t="s">
        <v>543</v>
      </c>
    </row>
    <row r="1133" spans="2:4">
      <c r="B1133" t="s">
        <v>561</v>
      </c>
      <c r="C1133" t="s">
        <v>534</v>
      </c>
      <c r="D1133" t="s">
        <v>543</v>
      </c>
    </row>
    <row r="1134" spans="2:4">
      <c r="B1134" t="s">
        <v>561</v>
      </c>
      <c r="C1134" t="s">
        <v>534</v>
      </c>
      <c r="D1134" t="s">
        <v>543</v>
      </c>
    </row>
    <row r="1135" spans="2:4">
      <c r="B1135" t="s">
        <v>561</v>
      </c>
      <c r="C1135" t="s">
        <v>534</v>
      </c>
      <c r="D1135" t="s">
        <v>543</v>
      </c>
    </row>
    <row r="1136" spans="2:4">
      <c r="B1136" t="s">
        <v>561</v>
      </c>
      <c r="C1136" t="s">
        <v>534</v>
      </c>
      <c r="D1136" t="s">
        <v>543</v>
      </c>
    </row>
    <row r="1137" spans="2:4">
      <c r="B1137" t="s">
        <v>561</v>
      </c>
      <c r="C1137" t="s">
        <v>534</v>
      </c>
      <c r="D1137" t="s">
        <v>543</v>
      </c>
    </row>
    <row r="1138" spans="2:4">
      <c r="B1138" t="s">
        <v>561</v>
      </c>
      <c r="C1138" t="s">
        <v>534</v>
      </c>
      <c r="D1138" t="s">
        <v>543</v>
      </c>
    </row>
    <row r="1139" spans="2:4">
      <c r="B1139" t="s">
        <v>561</v>
      </c>
      <c r="C1139" t="s">
        <v>534</v>
      </c>
      <c r="D1139" t="s">
        <v>543</v>
      </c>
    </row>
    <row r="1140" spans="2:4">
      <c r="B1140" t="s">
        <v>561</v>
      </c>
      <c r="C1140" t="s">
        <v>534</v>
      </c>
      <c r="D1140" t="s">
        <v>543</v>
      </c>
    </row>
    <row r="1141" spans="2:4">
      <c r="B1141" t="s">
        <v>561</v>
      </c>
      <c r="C1141" t="s">
        <v>534</v>
      </c>
      <c r="D1141" t="s">
        <v>543</v>
      </c>
    </row>
    <row r="1142" spans="2:4">
      <c r="B1142" t="s">
        <v>561</v>
      </c>
      <c r="C1142" t="s">
        <v>534</v>
      </c>
      <c r="D1142" t="s">
        <v>543</v>
      </c>
    </row>
    <row r="1143" spans="2:4">
      <c r="B1143" t="s">
        <v>561</v>
      </c>
      <c r="C1143" t="s">
        <v>534</v>
      </c>
      <c r="D1143" t="s">
        <v>543</v>
      </c>
    </row>
    <row r="1144" spans="2:4">
      <c r="B1144" t="s">
        <v>561</v>
      </c>
      <c r="C1144" t="s">
        <v>534</v>
      </c>
      <c r="D1144" t="s">
        <v>543</v>
      </c>
    </row>
    <row r="1145" spans="2:4">
      <c r="B1145" t="s">
        <v>561</v>
      </c>
      <c r="C1145" t="s">
        <v>534</v>
      </c>
      <c r="D1145" t="s">
        <v>543</v>
      </c>
    </row>
    <row r="1146" spans="2:4">
      <c r="B1146" t="s">
        <v>561</v>
      </c>
      <c r="C1146" t="s">
        <v>534</v>
      </c>
      <c r="D1146" t="s">
        <v>543</v>
      </c>
    </row>
    <row r="1147" spans="2:4">
      <c r="B1147" t="s">
        <v>561</v>
      </c>
      <c r="C1147" t="s">
        <v>534</v>
      </c>
      <c r="D1147" t="s">
        <v>543</v>
      </c>
    </row>
    <row r="1148" spans="2:4">
      <c r="B1148" t="s">
        <v>561</v>
      </c>
      <c r="C1148" t="s">
        <v>534</v>
      </c>
      <c r="D1148" t="s">
        <v>543</v>
      </c>
    </row>
    <row r="1149" spans="2:4">
      <c r="B1149" t="s">
        <v>561</v>
      </c>
      <c r="C1149" t="s">
        <v>534</v>
      </c>
      <c r="D1149" t="s">
        <v>543</v>
      </c>
    </row>
    <row r="1150" spans="2:4">
      <c r="B1150" t="s">
        <v>561</v>
      </c>
      <c r="C1150" t="s">
        <v>534</v>
      </c>
      <c r="D1150" t="s">
        <v>543</v>
      </c>
    </row>
    <row r="1151" spans="2:4">
      <c r="B1151" t="s">
        <v>561</v>
      </c>
      <c r="C1151" t="s">
        <v>534</v>
      </c>
      <c r="D1151" t="s">
        <v>543</v>
      </c>
    </row>
    <row r="1152" spans="2:4">
      <c r="B1152" t="s">
        <v>561</v>
      </c>
      <c r="C1152" t="s">
        <v>534</v>
      </c>
      <c r="D1152" t="s">
        <v>543</v>
      </c>
    </row>
    <row r="1153" spans="2:4">
      <c r="B1153" t="s">
        <v>561</v>
      </c>
      <c r="C1153" t="s">
        <v>534</v>
      </c>
      <c r="D1153" t="s">
        <v>543</v>
      </c>
    </row>
    <row r="1154" spans="2:4">
      <c r="B1154" t="s">
        <v>561</v>
      </c>
      <c r="C1154" t="s">
        <v>534</v>
      </c>
      <c r="D1154" t="s">
        <v>543</v>
      </c>
    </row>
    <row r="1155" spans="2:4">
      <c r="B1155" t="s">
        <v>561</v>
      </c>
      <c r="C1155" t="s">
        <v>534</v>
      </c>
      <c r="D1155" t="s">
        <v>543</v>
      </c>
    </row>
    <row r="1156" spans="2:4">
      <c r="B1156" t="s">
        <v>561</v>
      </c>
      <c r="C1156" t="s">
        <v>534</v>
      </c>
      <c r="D1156" t="s">
        <v>543</v>
      </c>
    </row>
    <row r="1157" spans="2:4">
      <c r="B1157" t="s">
        <v>561</v>
      </c>
      <c r="C1157" t="s">
        <v>534</v>
      </c>
      <c r="D1157" t="s">
        <v>543</v>
      </c>
    </row>
    <row r="1158" spans="2:4">
      <c r="B1158" t="s">
        <v>561</v>
      </c>
      <c r="C1158" t="s">
        <v>534</v>
      </c>
      <c r="D1158" t="s">
        <v>543</v>
      </c>
    </row>
    <row r="1159" spans="2:4">
      <c r="B1159" t="s">
        <v>561</v>
      </c>
      <c r="C1159" t="s">
        <v>534</v>
      </c>
      <c r="D1159" t="s">
        <v>543</v>
      </c>
    </row>
    <row r="1160" spans="2:4">
      <c r="B1160" t="s">
        <v>561</v>
      </c>
      <c r="C1160" t="s">
        <v>534</v>
      </c>
      <c r="D1160" t="s">
        <v>543</v>
      </c>
    </row>
    <row r="1161" spans="2:4">
      <c r="B1161" t="s">
        <v>561</v>
      </c>
      <c r="C1161" t="s">
        <v>534</v>
      </c>
      <c r="D1161" t="s">
        <v>543</v>
      </c>
    </row>
    <row r="1162" spans="2:4">
      <c r="B1162" t="s">
        <v>561</v>
      </c>
      <c r="C1162" t="s">
        <v>534</v>
      </c>
      <c r="D1162" t="s">
        <v>543</v>
      </c>
    </row>
    <row r="1163" spans="2:4">
      <c r="B1163" t="s">
        <v>561</v>
      </c>
      <c r="C1163" t="s">
        <v>534</v>
      </c>
      <c r="D1163" t="s">
        <v>543</v>
      </c>
    </row>
    <row r="1164" spans="2:4">
      <c r="B1164" t="s">
        <v>561</v>
      </c>
      <c r="C1164" t="s">
        <v>534</v>
      </c>
      <c r="D1164" t="s">
        <v>543</v>
      </c>
    </row>
    <row r="1165" spans="2:4">
      <c r="B1165" t="s">
        <v>561</v>
      </c>
      <c r="C1165" t="s">
        <v>534</v>
      </c>
      <c r="D1165" t="s">
        <v>543</v>
      </c>
    </row>
    <row r="1166" spans="2:4">
      <c r="B1166" t="s">
        <v>561</v>
      </c>
      <c r="C1166" t="s">
        <v>534</v>
      </c>
      <c r="D1166" t="s">
        <v>543</v>
      </c>
    </row>
    <row r="1167" spans="2:4">
      <c r="B1167" t="s">
        <v>561</v>
      </c>
      <c r="C1167" t="s">
        <v>534</v>
      </c>
      <c r="D1167" t="s">
        <v>543</v>
      </c>
    </row>
    <row r="1168" spans="2:4">
      <c r="B1168" t="s">
        <v>561</v>
      </c>
      <c r="C1168" t="s">
        <v>534</v>
      </c>
      <c r="D1168" t="s">
        <v>543</v>
      </c>
    </row>
    <row r="1169" spans="2:4">
      <c r="B1169" t="s">
        <v>561</v>
      </c>
      <c r="C1169" t="s">
        <v>534</v>
      </c>
      <c r="D1169" t="s">
        <v>543</v>
      </c>
    </row>
    <row r="1170" spans="2:4">
      <c r="B1170" t="s">
        <v>561</v>
      </c>
      <c r="C1170" t="s">
        <v>534</v>
      </c>
      <c r="D1170" t="s">
        <v>543</v>
      </c>
    </row>
    <row r="1171" spans="2:4">
      <c r="B1171" t="s">
        <v>561</v>
      </c>
      <c r="C1171" t="s">
        <v>534</v>
      </c>
      <c r="D1171" t="s">
        <v>543</v>
      </c>
    </row>
    <row r="1172" spans="2:4">
      <c r="B1172" t="s">
        <v>561</v>
      </c>
      <c r="C1172" t="s">
        <v>534</v>
      </c>
      <c r="D1172" t="s">
        <v>543</v>
      </c>
    </row>
    <row r="1173" spans="2:4">
      <c r="B1173" t="s">
        <v>561</v>
      </c>
      <c r="C1173" t="s">
        <v>534</v>
      </c>
      <c r="D1173" t="s">
        <v>543</v>
      </c>
    </row>
    <row r="1174" spans="2:4">
      <c r="B1174" t="s">
        <v>561</v>
      </c>
      <c r="C1174" t="s">
        <v>534</v>
      </c>
      <c r="D1174" t="s">
        <v>543</v>
      </c>
    </row>
    <row r="1175" spans="2:4">
      <c r="B1175" t="s">
        <v>561</v>
      </c>
      <c r="C1175" t="s">
        <v>534</v>
      </c>
      <c r="D1175" t="s">
        <v>543</v>
      </c>
    </row>
    <row r="1176" spans="2:4">
      <c r="B1176" t="s">
        <v>561</v>
      </c>
      <c r="C1176" t="s">
        <v>534</v>
      </c>
      <c r="D1176" t="s">
        <v>543</v>
      </c>
    </row>
    <row r="1177" spans="2:4">
      <c r="B1177" t="s">
        <v>561</v>
      </c>
      <c r="C1177" t="s">
        <v>534</v>
      </c>
      <c r="D1177" t="s">
        <v>543</v>
      </c>
    </row>
    <row r="1178" spans="2:4">
      <c r="B1178" t="s">
        <v>561</v>
      </c>
      <c r="C1178" t="s">
        <v>534</v>
      </c>
      <c r="D1178" t="s">
        <v>543</v>
      </c>
    </row>
    <row r="1179" spans="2:4">
      <c r="B1179" t="s">
        <v>561</v>
      </c>
      <c r="C1179" t="s">
        <v>534</v>
      </c>
      <c r="D1179" t="s">
        <v>543</v>
      </c>
    </row>
    <row r="1180" spans="2:4">
      <c r="B1180" t="s">
        <v>561</v>
      </c>
      <c r="C1180" t="s">
        <v>534</v>
      </c>
      <c r="D1180" t="s">
        <v>543</v>
      </c>
    </row>
    <row r="1181" spans="2:4">
      <c r="B1181" t="s">
        <v>561</v>
      </c>
      <c r="C1181" t="s">
        <v>534</v>
      </c>
      <c r="D1181" t="s">
        <v>543</v>
      </c>
    </row>
    <row r="1182" spans="2:4">
      <c r="B1182" t="s">
        <v>561</v>
      </c>
      <c r="C1182" t="s">
        <v>534</v>
      </c>
      <c r="D1182" t="s">
        <v>543</v>
      </c>
    </row>
    <row r="1183" spans="2:4">
      <c r="B1183" t="s">
        <v>561</v>
      </c>
      <c r="C1183" t="s">
        <v>534</v>
      </c>
      <c r="D1183" t="s">
        <v>543</v>
      </c>
    </row>
    <row r="1184" spans="2:4">
      <c r="B1184" t="s">
        <v>561</v>
      </c>
      <c r="C1184" t="s">
        <v>534</v>
      </c>
      <c r="D1184" t="s">
        <v>543</v>
      </c>
    </row>
    <row r="1185" spans="2:4">
      <c r="B1185" t="s">
        <v>561</v>
      </c>
      <c r="C1185" t="s">
        <v>534</v>
      </c>
      <c r="D1185" t="s">
        <v>543</v>
      </c>
    </row>
    <row r="1186" spans="2:4">
      <c r="B1186" t="s">
        <v>561</v>
      </c>
      <c r="C1186" t="s">
        <v>534</v>
      </c>
      <c r="D1186" t="s">
        <v>543</v>
      </c>
    </row>
    <row r="1187" spans="2:4">
      <c r="B1187" t="s">
        <v>561</v>
      </c>
      <c r="C1187" t="s">
        <v>534</v>
      </c>
      <c r="D1187" t="s">
        <v>543</v>
      </c>
    </row>
    <row r="1188" spans="2:4">
      <c r="B1188" t="s">
        <v>561</v>
      </c>
      <c r="C1188" t="s">
        <v>534</v>
      </c>
      <c r="D1188" t="s">
        <v>543</v>
      </c>
    </row>
    <row r="1189" spans="2:4">
      <c r="B1189" t="s">
        <v>561</v>
      </c>
      <c r="C1189" t="s">
        <v>534</v>
      </c>
      <c r="D1189" t="s">
        <v>543</v>
      </c>
    </row>
    <row r="1190" spans="2:4">
      <c r="B1190" t="s">
        <v>561</v>
      </c>
      <c r="C1190" t="s">
        <v>534</v>
      </c>
      <c r="D1190" t="s">
        <v>543</v>
      </c>
    </row>
    <row r="1191" spans="2:4">
      <c r="B1191" t="s">
        <v>561</v>
      </c>
      <c r="C1191" t="s">
        <v>534</v>
      </c>
      <c r="D1191" t="s">
        <v>543</v>
      </c>
    </row>
    <row r="1192" spans="2:4">
      <c r="B1192" t="s">
        <v>561</v>
      </c>
      <c r="C1192" t="s">
        <v>534</v>
      </c>
      <c r="D1192" t="s">
        <v>543</v>
      </c>
    </row>
    <row r="1193" spans="2:4">
      <c r="B1193" t="s">
        <v>561</v>
      </c>
      <c r="C1193" t="s">
        <v>534</v>
      </c>
      <c r="D1193" t="s">
        <v>543</v>
      </c>
    </row>
    <row r="1194" spans="2:4">
      <c r="B1194" t="s">
        <v>561</v>
      </c>
      <c r="C1194" t="s">
        <v>534</v>
      </c>
      <c r="D1194" t="s">
        <v>543</v>
      </c>
    </row>
    <row r="1195" spans="2:4">
      <c r="B1195" t="s">
        <v>561</v>
      </c>
      <c r="C1195" t="s">
        <v>534</v>
      </c>
      <c r="D1195" t="s">
        <v>543</v>
      </c>
    </row>
    <row r="1196" spans="2:4">
      <c r="B1196" t="s">
        <v>561</v>
      </c>
      <c r="C1196" t="s">
        <v>534</v>
      </c>
      <c r="D1196" t="s">
        <v>543</v>
      </c>
    </row>
    <row r="1197" spans="2:4">
      <c r="B1197" t="s">
        <v>561</v>
      </c>
      <c r="C1197" t="s">
        <v>534</v>
      </c>
      <c r="D1197" t="s">
        <v>543</v>
      </c>
    </row>
    <row r="1198" spans="2:4">
      <c r="B1198" t="s">
        <v>561</v>
      </c>
      <c r="C1198" t="s">
        <v>534</v>
      </c>
      <c r="D1198" t="s">
        <v>543</v>
      </c>
    </row>
    <row r="1199" spans="2:4">
      <c r="B1199" t="s">
        <v>561</v>
      </c>
      <c r="C1199" t="s">
        <v>534</v>
      </c>
      <c r="D1199" t="s">
        <v>543</v>
      </c>
    </row>
    <row r="1200" spans="2:4">
      <c r="B1200" t="s">
        <v>561</v>
      </c>
      <c r="C1200" t="s">
        <v>534</v>
      </c>
      <c r="D1200" t="s">
        <v>543</v>
      </c>
    </row>
    <row r="1201" spans="2:4">
      <c r="B1201" t="s">
        <v>561</v>
      </c>
      <c r="C1201" t="s">
        <v>534</v>
      </c>
      <c r="D1201" t="s">
        <v>543</v>
      </c>
    </row>
    <row r="1202" spans="2:4">
      <c r="B1202" t="s">
        <v>561</v>
      </c>
      <c r="C1202" t="s">
        <v>534</v>
      </c>
      <c r="D1202" t="s">
        <v>543</v>
      </c>
    </row>
    <row r="1203" spans="2:4">
      <c r="B1203" t="s">
        <v>561</v>
      </c>
      <c r="C1203" t="s">
        <v>534</v>
      </c>
      <c r="D1203" t="s">
        <v>543</v>
      </c>
    </row>
    <row r="1204" spans="2:4">
      <c r="B1204" t="s">
        <v>561</v>
      </c>
      <c r="C1204" t="s">
        <v>534</v>
      </c>
      <c r="D1204" t="s">
        <v>543</v>
      </c>
    </row>
    <row r="1205" spans="2:4">
      <c r="B1205" t="s">
        <v>561</v>
      </c>
      <c r="C1205" t="s">
        <v>534</v>
      </c>
      <c r="D1205" t="s">
        <v>543</v>
      </c>
    </row>
    <row r="1206" spans="2:4">
      <c r="B1206" t="s">
        <v>561</v>
      </c>
      <c r="C1206" t="s">
        <v>534</v>
      </c>
      <c r="D1206" t="s">
        <v>543</v>
      </c>
    </row>
    <row r="1207" spans="2:4">
      <c r="B1207" t="s">
        <v>561</v>
      </c>
      <c r="C1207" t="s">
        <v>534</v>
      </c>
      <c r="D1207" t="s">
        <v>543</v>
      </c>
    </row>
    <row r="1208" spans="2:4">
      <c r="B1208" t="s">
        <v>561</v>
      </c>
      <c r="C1208" t="s">
        <v>534</v>
      </c>
      <c r="D1208" t="s">
        <v>543</v>
      </c>
    </row>
    <row r="1209" spans="2:4">
      <c r="B1209" t="s">
        <v>561</v>
      </c>
      <c r="C1209" t="s">
        <v>534</v>
      </c>
      <c r="D1209" t="s">
        <v>543</v>
      </c>
    </row>
    <row r="1210" spans="2:4">
      <c r="B1210" t="s">
        <v>561</v>
      </c>
      <c r="C1210" t="s">
        <v>534</v>
      </c>
      <c r="D1210" t="s">
        <v>543</v>
      </c>
    </row>
    <row r="1211" spans="2:4">
      <c r="B1211" t="s">
        <v>561</v>
      </c>
      <c r="C1211" t="s">
        <v>534</v>
      </c>
      <c r="D1211" t="s">
        <v>543</v>
      </c>
    </row>
    <row r="1212" spans="2:4">
      <c r="B1212" t="s">
        <v>561</v>
      </c>
      <c r="C1212" t="s">
        <v>534</v>
      </c>
      <c r="D1212" t="s">
        <v>543</v>
      </c>
    </row>
    <row r="1213" spans="2:4">
      <c r="B1213" t="s">
        <v>561</v>
      </c>
      <c r="C1213" t="s">
        <v>534</v>
      </c>
      <c r="D1213" t="s">
        <v>543</v>
      </c>
    </row>
    <row r="1214" spans="2:4">
      <c r="B1214" t="s">
        <v>561</v>
      </c>
      <c r="C1214" t="s">
        <v>534</v>
      </c>
      <c r="D1214" t="s">
        <v>543</v>
      </c>
    </row>
    <row r="1215" spans="2:4">
      <c r="B1215" t="s">
        <v>561</v>
      </c>
      <c r="C1215" t="s">
        <v>534</v>
      </c>
      <c r="D1215" t="s">
        <v>543</v>
      </c>
    </row>
    <row r="1216" spans="2:4">
      <c r="B1216" t="s">
        <v>561</v>
      </c>
      <c r="C1216" t="s">
        <v>534</v>
      </c>
      <c r="D1216" t="s">
        <v>543</v>
      </c>
    </row>
    <row r="1217" spans="2:4">
      <c r="B1217" t="s">
        <v>561</v>
      </c>
      <c r="C1217" t="s">
        <v>534</v>
      </c>
      <c r="D1217" t="s">
        <v>543</v>
      </c>
    </row>
    <row r="1218" spans="2:4">
      <c r="B1218" t="s">
        <v>561</v>
      </c>
      <c r="C1218" t="s">
        <v>534</v>
      </c>
      <c r="D1218" t="s">
        <v>543</v>
      </c>
    </row>
    <row r="1219" spans="2:4">
      <c r="B1219" t="s">
        <v>561</v>
      </c>
      <c r="C1219" t="s">
        <v>534</v>
      </c>
      <c r="D1219" t="s">
        <v>543</v>
      </c>
    </row>
    <row r="1220" spans="2:4">
      <c r="B1220" t="s">
        <v>561</v>
      </c>
      <c r="C1220" t="s">
        <v>534</v>
      </c>
      <c r="D1220" t="s">
        <v>543</v>
      </c>
    </row>
    <row r="1221" spans="2:4">
      <c r="B1221" t="s">
        <v>561</v>
      </c>
      <c r="C1221" t="s">
        <v>534</v>
      </c>
      <c r="D1221" t="s">
        <v>543</v>
      </c>
    </row>
    <row r="1222" spans="2:4">
      <c r="B1222" t="s">
        <v>561</v>
      </c>
      <c r="C1222" t="s">
        <v>534</v>
      </c>
      <c r="D1222" t="s">
        <v>543</v>
      </c>
    </row>
    <row r="1223" spans="2:4">
      <c r="B1223" t="s">
        <v>561</v>
      </c>
      <c r="C1223" t="s">
        <v>534</v>
      </c>
      <c r="D1223" t="s">
        <v>543</v>
      </c>
    </row>
    <row r="1224" spans="2:4">
      <c r="B1224" t="s">
        <v>561</v>
      </c>
      <c r="C1224" t="s">
        <v>534</v>
      </c>
      <c r="D1224" t="s">
        <v>543</v>
      </c>
    </row>
    <row r="1225" spans="2:4">
      <c r="B1225" t="s">
        <v>561</v>
      </c>
      <c r="C1225" t="s">
        <v>534</v>
      </c>
      <c r="D1225" t="s">
        <v>543</v>
      </c>
    </row>
    <row r="1226" spans="2:4">
      <c r="B1226" t="s">
        <v>561</v>
      </c>
      <c r="C1226" t="s">
        <v>534</v>
      </c>
      <c r="D1226" t="s">
        <v>543</v>
      </c>
    </row>
    <row r="1227" spans="2:4">
      <c r="B1227" t="s">
        <v>561</v>
      </c>
      <c r="C1227" t="s">
        <v>534</v>
      </c>
      <c r="D1227" t="s">
        <v>543</v>
      </c>
    </row>
    <row r="1228" spans="2:4">
      <c r="B1228" t="s">
        <v>561</v>
      </c>
      <c r="C1228" t="s">
        <v>534</v>
      </c>
      <c r="D1228" t="s">
        <v>543</v>
      </c>
    </row>
    <row r="1229" spans="2:4">
      <c r="B1229" t="s">
        <v>561</v>
      </c>
      <c r="C1229" t="s">
        <v>534</v>
      </c>
      <c r="D1229" t="s">
        <v>543</v>
      </c>
    </row>
    <row r="1230" spans="2:4">
      <c r="B1230" t="s">
        <v>561</v>
      </c>
      <c r="C1230" t="s">
        <v>534</v>
      </c>
      <c r="D1230" t="s">
        <v>543</v>
      </c>
    </row>
    <row r="1231" spans="2:4">
      <c r="B1231" t="s">
        <v>561</v>
      </c>
      <c r="C1231" t="s">
        <v>534</v>
      </c>
      <c r="D1231" t="s">
        <v>543</v>
      </c>
    </row>
    <row r="1232" spans="2:4">
      <c r="B1232" t="s">
        <v>561</v>
      </c>
      <c r="C1232" t="s">
        <v>534</v>
      </c>
      <c r="D1232" t="s">
        <v>543</v>
      </c>
    </row>
    <row r="1233" spans="2:4">
      <c r="B1233" t="s">
        <v>561</v>
      </c>
      <c r="C1233" t="s">
        <v>534</v>
      </c>
      <c r="D1233" t="s">
        <v>543</v>
      </c>
    </row>
    <row r="1234" spans="2:4">
      <c r="B1234" t="s">
        <v>561</v>
      </c>
      <c r="C1234" t="s">
        <v>534</v>
      </c>
      <c r="D1234" t="s">
        <v>543</v>
      </c>
    </row>
    <row r="1235" spans="2:4">
      <c r="B1235" t="s">
        <v>561</v>
      </c>
      <c r="C1235" t="s">
        <v>534</v>
      </c>
      <c r="D1235" t="s">
        <v>543</v>
      </c>
    </row>
    <row r="1236" spans="2:4">
      <c r="B1236" t="s">
        <v>561</v>
      </c>
      <c r="C1236" t="s">
        <v>534</v>
      </c>
      <c r="D1236" t="s">
        <v>543</v>
      </c>
    </row>
    <row r="1237" spans="2:4">
      <c r="B1237" t="s">
        <v>561</v>
      </c>
      <c r="C1237" t="s">
        <v>534</v>
      </c>
      <c r="D1237" t="s">
        <v>543</v>
      </c>
    </row>
    <row r="1238" spans="2:4">
      <c r="B1238" t="s">
        <v>561</v>
      </c>
      <c r="C1238" t="s">
        <v>534</v>
      </c>
      <c r="D1238" t="s">
        <v>543</v>
      </c>
    </row>
    <row r="1239" spans="2:4">
      <c r="B1239" t="s">
        <v>561</v>
      </c>
      <c r="C1239" t="s">
        <v>534</v>
      </c>
      <c r="D1239" t="s">
        <v>543</v>
      </c>
    </row>
    <row r="1240" spans="2:4">
      <c r="B1240" t="s">
        <v>561</v>
      </c>
      <c r="C1240" t="s">
        <v>534</v>
      </c>
      <c r="D1240" t="s">
        <v>543</v>
      </c>
    </row>
    <row r="1241" spans="2:4">
      <c r="B1241" t="s">
        <v>561</v>
      </c>
      <c r="C1241" t="s">
        <v>534</v>
      </c>
      <c r="D1241" t="s">
        <v>543</v>
      </c>
    </row>
    <row r="1242" spans="2:4">
      <c r="B1242" t="s">
        <v>561</v>
      </c>
      <c r="C1242" t="s">
        <v>534</v>
      </c>
      <c r="D1242" t="s">
        <v>543</v>
      </c>
    </row>
    <row r="1243" spans="2:4">
      <c r="B1243" t="s">
        <v>561</v>
      </c>
      <c r="C1243" t="s">
        <v>534</v>
      </c>
      <c r="D1243" t="s">
        <v>543</v>
      </c>
    </row>
    <row r="1244" spans="2:4">
      <c r="B1244" t="s">
        <v>561</v>
      </c>
      <c r="C1244" t="s">
        <v>534</v>
      </c>
      <c r="D1244" t="s">
        <v>543</v>
      </c>
    </row>
  </sheetData>
  <conditionalFormatting sqref="A893:A940">
    <cfRule type="containsText" dxfId="15" priority="83" operator="containsText" text=" ">
      <formula>NOT(ISERROR(SEARCH(" ",A893)))</formula>
    </cfRule>
  </conditionalFormatting>
  <conditionalFormatting sqref="A942:A943">
    <cfRule type="containsText" dxfId="14" priority="81" operator="containsText" text=" ">
      <formula>NOT(ISERROR(SEARCH(" ",A942)))</formula>
    </cfRule>
  </conditionalFormatting>
  <conditionalFormatting sqref="A946:A950">
    <cfRule type="containsText" dxfId="13" priority="78" operator="containsText" text=" ">
      <formula>NOT(ISERROR(SEARCH(" ",A946)))</formula>
    </cfRule>
  </conditionalFormatting>
  <conditionalFormatting sqref="A952:A953">
    <cfRule type="containsText" dxfId="12" priority="76" operator="containsText" text=" ">
      <formula>NOT(ISERROR(SEARCH(" ",A952)))</formula>
    </cfRule>
  </conditionalFormatting>
  <conditionalFormatting sqref="A956:A971">
    <cfRule type="containsText" dxfId="11" priority="59" operator="containsText" text=" ">
      <formula>NOT(ISERROR(SEARCH(" ",A956)))</formula>
    </cfRule>
  </conditionalFormatting>
  <conditionalFormatting sqref="A974:A977">
    <cfRule type="containsText" dxfId="10" priority="55" operator="containsText" text=" ">
      <formula>NOT(ISERROR(SEARCH(" ",A974)))</formula>
    </cfRule>
  </conditionalFormatting>
  <conditionalFormatting sqref="A979:A982">
    <cfRule type="containsText" dxfId="9" priority="51" operator="containsText" text=" ">
      <formula>NOT(ISERROR(SEARCH(" ",A979)))</formula>
    </cfRule>
  </conditionalFormatting>
  <conditionalFormatting sqref="A985:A986">
    <cfRule type="containsText" dxfId="8" priority="49" operator="containsText" text=" ">
      <formula>NOT(ISERROR(SEARCH(" ",A985)))</formula>
    </cfRule>
  </conditionalFormatting>
  <conditionalFormatting sqref="A988:A991">
    <cfRule type="containsText" dxfId="7" priority="45" operator="containsText" text=" ">
      <formula>NOT(ISERROR(SEARCH(" ",A988)))</formula>
    </cfRule>
  </conditionalFormatting>
  <conditionalFormatting sqref="A994:A1029">
    <cfRule type="containsText" dxfId="6" priority="10" operator="containsText" text=" ">
      <formula>NOT(ISERROR(SEARCH(" ",A994)))</formula>
    </cfRule>
  </conditionalFormatting>
  <conditionalFormatting sqref="A1031:A1045">
    <cfRule type="containsText" dxfId="5" priority="1" operator="containsText" text=" ">
      <formula>NOT(ISERROR(SEARCH(" ",A1031)))</formula>
    </cfRule>
  </conditionalFormatting>
  <conditionalFormatting sqref="B1:C1048576">
    <cfRule type="containsText" dxfId="4" priority="132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30" bestFit="1" customWidth="1"/>
    <col min="7" max="8" width="8.81640625" customWidth="1"/>
  </cols>
  <sheetData>
    <row r="1" spans="1:15">
      <c r="A1" t="s">
        <v>0</v>
      </c>
      <c r="B1" t="s">
        <v>1949</v>
      </c>
      <c r="C1" t="s">
        <v>255</v>
      </c>
      <c r="D1" t="s">
        <v>1692</v>
      </c>
      <c r="E1" t="s">
        <v>1075</v>
      </c>
      <c r="F1" s="30" t="s">
        <v>1693</v>
      </c>
      <c r="G1" t="s">
        <v>242</v>
      </c>
      <c r="H1" t="s">
        <v>247</v>
      </c>
      <c r="I1" t="s">
        <v>240</v>
      </c>
      <c r="J1" t="s">
        <v>245</v>
      </c>
      <c r="K1" t="s">
        <v>239</v>
      </c>
      <c r="L1" t="s">
        <v>243</v>
      </c>
      <c r="M1" t="s">
        <v>244</v>
      </c>
      <c r="N1" t="s">
        <v>246</v>
      </c>
      <c r="O1" t="s">
        <v>241</v>
      </c>
    </row>
    <row r="2" spans="1:15">
      <c r="A2" t="str" cm="1">
        <f t="array" ref="A2:A1045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0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0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0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0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0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0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0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0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0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0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0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0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0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0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0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0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0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0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0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0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0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0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0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0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0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0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0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0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0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0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0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0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0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0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0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0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0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0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0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0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0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0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0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0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0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0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0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0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0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0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0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0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0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0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0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0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0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0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0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0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0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0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0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0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0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30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0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30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30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0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0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30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30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0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0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0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0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30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30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30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30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0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30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30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0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0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0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0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0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0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0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0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0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0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0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0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0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0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0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0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30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0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0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30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30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0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30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30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0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0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0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30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0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0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0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0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0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30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0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0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0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30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0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0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0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30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30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0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0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0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30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0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0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0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30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0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0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0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0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30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30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0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0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30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0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0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30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0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0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30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30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0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30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30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0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30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30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0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0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0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0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0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0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0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0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0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30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0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0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0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0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0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0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0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0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0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30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0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0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0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0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0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0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0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0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0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0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0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30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0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0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0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0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30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0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0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30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0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0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0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0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0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30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30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0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0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0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0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30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0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0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30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0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30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0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30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0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0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0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30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0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0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30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30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30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0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0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0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0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30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0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30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30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30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0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0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0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30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0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0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30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30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30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0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0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0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0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0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0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0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30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0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0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30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0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30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30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0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0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0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0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0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30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30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0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0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0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30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30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0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0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0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0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30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0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30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30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30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30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30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0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0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30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0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0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30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0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30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0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0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0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30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0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0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30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30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30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0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0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0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0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0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0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0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0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0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0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0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0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0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0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30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0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0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0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0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0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0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0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0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0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0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0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0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0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0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0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0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0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0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0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0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0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0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0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0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0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0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0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0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0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0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0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0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0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0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0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0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0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0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0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0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0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0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30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0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30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0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0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0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30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30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0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0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0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30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0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0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30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30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0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0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0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30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30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0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0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30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30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0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30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30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30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30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0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0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30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0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0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0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0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0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30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0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30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0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0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30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30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0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0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0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30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0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0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30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30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30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30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0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0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0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30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30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30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0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0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30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0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30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30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30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30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0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30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0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30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30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30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30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0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0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0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30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0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0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0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30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0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0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0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0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0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0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30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0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0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30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0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0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0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0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0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0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0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0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0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0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0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0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0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0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0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0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0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0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0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0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0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0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0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0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0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0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0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0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0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0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0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0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0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0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0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0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0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0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0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0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0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0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0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0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0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0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0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0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0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0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0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0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0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0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0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0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0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0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0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0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0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0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0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0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0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0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0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0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0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0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0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0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0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0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0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0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0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0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0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0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0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0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0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0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0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0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0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0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0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0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0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0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0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0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0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0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0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0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0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0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0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0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0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0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0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0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0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0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0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0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0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0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0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0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0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0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0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0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0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0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0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0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0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0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0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0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0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0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0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0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0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0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0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0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0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0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0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0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0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0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0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0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0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0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0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0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0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0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30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0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0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30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30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30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0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0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0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30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0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0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0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0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30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30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30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0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0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0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0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0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0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0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0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0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0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0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0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0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0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0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0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30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0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30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0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30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0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0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30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30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0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0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0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0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0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0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0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0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0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0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0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0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0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0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0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0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0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0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0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0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0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0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0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0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0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0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0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0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0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0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0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0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0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0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0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0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0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0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0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0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0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0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0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0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0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0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0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0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0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0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0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0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0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0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0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0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0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0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0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0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0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0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0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0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0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0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0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0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0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0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0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0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0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0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0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0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0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0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0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0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0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0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0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0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0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0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0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0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30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0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0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0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0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0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0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0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0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0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0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0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30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30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0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0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0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0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0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0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0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0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0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0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0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0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30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0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0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0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0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0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0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0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0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0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0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0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0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0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0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0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0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0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0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0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0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0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0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0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0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0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0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0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0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0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0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0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0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0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0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0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30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0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0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0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0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30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0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0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0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0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30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0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0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0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0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0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0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0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0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0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0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0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0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0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30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0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0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0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0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0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0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0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0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0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30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0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0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30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0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0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0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0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0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0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30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30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30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30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30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0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30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30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0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30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0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30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30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0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0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0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0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30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30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0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30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0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0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30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30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30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0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0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30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0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0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0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0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30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30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0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0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0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0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30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30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30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30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0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0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0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0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0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0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0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30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30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0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30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30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30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0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0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0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0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0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0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0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0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0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0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0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0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0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0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0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0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0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0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0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0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0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0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0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0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0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0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0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0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0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0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0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0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0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0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0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0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0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0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0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0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0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0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0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0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30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0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0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0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0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30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0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0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0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0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0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0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30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30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0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0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0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0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0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0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0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0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0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30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30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30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0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0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0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0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0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0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30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30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0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0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0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0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0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0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0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0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30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30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0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0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0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30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0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30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30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0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0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0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0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0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0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0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0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0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0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30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30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0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30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30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0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0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0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30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30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0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30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30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30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0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30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30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0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0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30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0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30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30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30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Commuter/Urban</v>
      </c>
      <c r="F1019" s="30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30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30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30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30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30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30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30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30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30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30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30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30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30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30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30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30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30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30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30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>
      <c r="A1039" t="str">
        <v>diesel_Faur_A20DP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30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30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30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30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30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30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30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>
      <c r="B1046" t="e" cm="1">
        <f t="array" ref="B1046">_xlfn.XLOOKUP(A1046,CONTROL[VEHIDCODE],PROPERTIES[EXCLUDE])</f>
        <v>#N/A</v>
      </c>
      <c r="C1046" t="e">
        <f>_xlfn.XLOOKUP(A1046,CONTROL[VEHIDCODE],CONTROL[IS_WAGON_OR_COACH])</f>
        <v>#N/A</v>
      </c>
      <c r="D1046" t="e">
        <f>FLOOR(_xlfn.XLOOKUP($A1046,PROPERTIES[VEHIDCODE],PROPERTIES[INTRODUCTION_YEAR]),20)</f>
        <v>#N/A</v>
      </c>
      <c r="E1046" t="e">
        <f>_xlfn.XLOOKUP($A1046,PROPERTIES[VEHIDCODE],PROPERTIES[ROLE])</f>
        <v>#N/A</v>
      </c>
      <c r="F1046" s="30" t="e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#N/A</v>
      </c>
      <c r="G1046" t="b">
        <f t="shared" si="135"/>
        <v>0</v>
      </c>
      <c r="H1046" t="b">
        <f t="shared" si="142"/>
        <v>0</v>
      </c>
      <c r="I1046" t="b">
        <f t="shared" si="136"/>
        <v>0</v>
      </c>
      <c r="J1046" t="b">
        <f t="shared" si="143"/>
        <v>0</v>
      </c>
      <c r="K1046" t="b">
        <f t="shared" si="137"/>
        <v>0</v>
      </c>
      <c r="L1046" t="b">
        <f t="shared" si="138"/>
        <v>0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>
      <c r="B1047" t="e" cm="1">
        <f t="array" ref="B1047">_xlfn.XLOOKUP(A1047,CONTROL[VEHIDCODE],PROPERTIES[EXCLUDE])</f>
        <v>#N/A</v>
      </c>
      <c r="C1047" t="e">
        <f>_xlfn.XLOOKUP(A1047,CONTROL[VEHIDCODE],CONTROL[IS_WAGON_OR_COACH])</f>
        <v>#N/A</v>
      </c>
      <c r="D1047" t="e">
        <f>FLOOR(_xlfn.XLOOKUP($A1047,PROPERTIES[VEHIDCODE],PROPERTIES[INTRODUCTION_YEAR]),20)</f>
        <v>#N/A</v>
      </c>
      <c r="E1047" t="e">
        <f>_xlfn.XLOOKUP($A1047,PROPERTIES[VEHIDCODE],PROPERTIES[ROLE])</f>
        <v>#N/A</v>
      </c>
      <c r="F1047" s="30" t="e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#N/A</v>
      </c>
      <c r="G1047" t="b">
        <f t="shared" si="135"/>
        <v>0</v>
      </c>
      <c r="H1047" t="b">
        <f t="shared" si="142"/>
        <v>0</v>
      </c>
      <c r="I1047" t="b">
        <f t="shared" si="136"/>
        <v>0</v>
      </c>
      <c r="J1047" t="b">
        <f t="shared" si="143"/>
        <v>0</v>
      </c>
      <c r="K1047" t="b">
        <f t="shared" si="137"/>
        <v>0</v>
      </c>
      <c r="L1047" t="b">
        <f t="shared" si="138"/>
        <v>0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>
      <c r="B1048" t="e" cm="1">
        <f t="array" ref="B1048">_xlfn.XLOOKUP(A1048,CONTROL[VEHIDCODE],PROPERTIES[EXCLUDE])</f>
        <v>#N/A</v>
      </c>
      <c r="C1048" t="e">
        <f>_xlfn.XLOOKUP(A1048,CONTROL[VEHIDCODE],CONTROL[IS_WAGON_OR_COACH])</f>
        <v>#N/A</v>
      </c>
      <c r="D1048" t="e">
        <f>FLOOR(_xlfn.XLOOKUP($A1048,PROPERTIES[VEHIDCODE],PROPERTIES[INTRODUCTION_YEAR]),20)</f>
        <v>#N/A</v>
      </c>
      <c r="E1048" t="e">
        <f>_xlfn.XLOOKUP($A1048,PROPERTIES[VEHIDCODE],PROPERTIES[ROLE])</f>
        <v>#N/A</v>
      </c>
      <c r="F1048" s="30" t="e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#N/A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0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30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30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30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30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30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30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30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30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30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30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30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30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30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30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30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30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30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30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30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30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30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30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30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30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30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30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30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30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30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30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30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30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30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30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30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30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30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30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30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30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30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30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30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30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30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30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30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30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30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30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30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30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30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30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30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30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30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30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30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30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30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30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30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30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30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30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30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242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1953</v>
      </c>
    </row>
    <row r="7" spans="1:18">
      <c r="A7" s="1" t="s">
        <v>1867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1868</v>
      </c>
      <c r="F8">
        <v>1</v>
      </c>
      <c r="H8">
        <v>2</v>
      </c>
      <c r="I8">
        <v>3</v>
      </c>
      <c r="L8">
        <v>6</v>
      </c>
    </row>
    <row r="9" spans="1:18">
      <c r="A9" s="1" t="s">
        <v>1871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1687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1872</v>
      </c>
      <c r="H11">
        <v>1</v>
      </c>
      <c r="I11">
        <v>1</v>
      </c>
      <c r="L11">
        <v>2</v>
      </c>
    </row>
    <row r="12" spans="1:18">
      <c r="A12" s="1" t="s">
        <v>1869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1688</v>
      </c>
      <c r="J13">
        <v>1</v>
      </c>
      <c r="K13">
        <v>1</v>
      </c>
      <c r="L13">
        <v>2</v>
      </c>
    </row>
    <row r="14" spans="1:18">
      <c r="A14" t="s">
        <v>1691</v>
      </c>
      <c r="I14">
        <v>1</v>
      </c>
      <c r="L14">
        <v>1</v>
      </c>
    </row>
    <row r="15" spans="1:18">
      <c r="A15" s="1" t="s">
        <v>1870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1953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29" t="s">
        <v>244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18">
      <c r="A7" s="1" t="s">
        <v>1867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1868</v>
      </c>
      <c r="H8">
        <v>2</v>
      </c>
      <c r="J8">
        <v>1</v>
      </c>
      <c r="M8">
        <v>3</v>
      </c>
    </row>
    <row r="9" spans="1:18">
      <c r="A9" s="1" t="s">
        <v>1871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1687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1872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1869</v>
      </c>
      <c r="F12">
        <v>3</v>
      </c>
      <c r="M12">
        <v>3</v>
      </c>
    </row>
    <row r="13" spans="1:18">
      <c r="A13" s="1" t="s">
        <v>1688</v>
      </c>
      <c r="K13">
        <v>1</v>
      </c>
      <c r="L13">
        <v>1</v>
      </c>
      <c r="M13">
        <v>2</v>
      </c>
    </row>
    <row r="14" spans="1:18">
      <c r="A14" t="s">
        <v>1691</v>
      </c>
      <c r="J14">
        <v>1</v>
      </c>
      <c r="M14">
        <v>1</v>
      </c>
    </row>
    <row r="15" spans="1:18">
      <c r="A15" s="1" t="s">
        <v>1870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1953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29" t="s">
        <v>1949</v>
      </c>
      <c r="B1" t="s">
        <v>1952</v>
      </c>
    </row>
    <row r="2" spans="1:67">
      <c r="A2" s="29" t="s">
        <v>255</v>
      </c>
      <c r="B2" t="s">
        <v>1952</v>
      </c>
    </row>
    <row r="3" spans="1:67">
      <c r="A3" s="42" t="s">
        <v>246</v>
      </c>
      <c r="B3" t="s">
        <v>1694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9" t="s">
        <v>1689</v>
      </c>
      <c r="B5" s="42" t="s">
        <v>1692</v>
      </c>
    </row>
    <row r="6" spans="1:67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67">
      <c r="A7" s="1" t="s">
        <v>1867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1789</v>
      </c>
      <c r="H8">
        <v>1</v>
      </c>
      <c r="M8">
        <v>1</v>
      </c>
    </row>
    <row r="9" spans="1:67">
      <c r="A9" s="1" t="s">
        <v>1871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1687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1872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1869</v>
      </c>
      <c r="B12">
        <v>3</v>
      </c>
      <c r="C12">
        <v>2</v>
      </c>
      <c r="M12">
        <v>5</v>
      </c>
    </row>
    <row r="13" spans="1:67">
      <c r="A13" s="1" t="s">
        <v>1688</v>
      </c>
      <c r="K13">
        <v>1</v>
      </c>
      <c r="L13">
        <v>1</v>
      </c>
      <c r="M13">
        <v>2</v>
      </c>
    </row>
    <row r="14" spans="1:67">
      <c r="A14" t="s">
        <v>1691</v>
      </c>
      <c r="J14">
        <v>1</v>
      </c>
      <c r="M14">
        <v>1</v>
      </c>
    </row>
    <row r="15" spans="1:67">
      <c r="A15" s="1" t="s">
        <v>1870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1953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29" t="s">
        <v>1949</v>
      </c>
      <c r="B1" t="s">
        <v>1952</v>
      </c>
    </row>
    <row r="2" spans="1:19">
      <c r="A2" s="42" t="s">
        <v>247</v>
      </c>
      <c r="B2" t="s">
        <v>1694</v>
      </c>
    </row>
    <row r="3" spans="1:19">
      <c r="A3" s="29" t="s">
        <v>255</v>
      </c>
      <c r="B3" t="s">
        <v>1952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9" t="s">
        <v>1689</v>
      </c>
      <c r="B5" s="42" t="s">
        <v>1692</v>
      </c>
    </row>
    <row r="6" spans="1:19">
      <c r="A6" s="29" t="s">
        <v>1075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1953</v>
      </c>
    </row>
    <row r="7" spans="1:19">
      <c r="A7" s="1" t="s">
        <v>1867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1868</v>
      </c>
      <c r="G8">
        <v>4</v>
      </c>
      <c r="H8">
        <v>5</v>
      </c>
      <c r="I8">
        <v>3</v>
      </c>
      <c r="L8">
        <v>12</v>
      </c>
    </row>
    <row r="9" spans="1:19">
      <c r="A9" s="1" t="s">
        <v>1871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1873</v>
      </c>
      <c r="I10">
        <v>1</v>
      </c>
      <c r="L10">
        <v>1</v>
      </c>
    </row>
    <row r="11" spans="1:19">
      <c r="A11" s="1" t="s">
        <v>1687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1872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1869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1688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1691</v>
      </c>
      <c r="H15">
        <v>1</v>
      </c>
      <c r="I15">
        <v>1</v>
      </c>
      <c r="L15">
        <v>2</v>
      </c>
    </row>
    <row r="16" spans="1:19">
      <c r="A16" s="1" t="s">
        <v>1870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1953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241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18">
      <c r="A7" s="1" t="s">
        <v>1867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1868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1871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1687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1872</v>
      </c>
      <c r="H11">
        <v>1</v>
      </c>
      <c r="M11">
        <v>1</v>
      </c>
    </row>
    <row r="12" spans="1:18">
      <c r="A12" s="1" t="s">
        <v>1869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1688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1691</v>
      </c>
      <c r="J14">
        <v>2</v>
      </c>
      <c r="M14">
        <v>2</v>
      </c>
    </row>
    <row r="15" spans="1:18">
      <c r="A15" s="1" t="s">
        <v>1870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1953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1949</v>
      </c>
      <c r="B1" t="s">
        <v>1952</v>
      </c>
    </row>
    <row r="2" spans="1:20">
      <c r="A2" s="29" t="s">
        <v>255</v>
      </c>
      <c r="B2" t="s">
        <v>1952</v>
      </c>
    </row>
    <row r="3" spans="1:20">
      <c r="A3" s="42" t="s">
        <v>239</v>
      </c>
      <c r="B3" t="s">
        <v>1694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1689</v>
      </c>
      <c r="B5" s="42" t="s">
        <v>1692</v>
      </c>
    </row>
    <row r="6" spans="1:20">
      <c r="A6" s="29" t="s">
        <v>1075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1953</v>
      </c>
    </row>
    <row r="7" spans="1:20">
      <c r="A7" s="1" t="s">
        <v>1867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1868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1871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1873</v>
      </c>
      <c r="J10">
        <v>1</v>
      </c>
      <c r="N10">
        <v>1</v>
      </c>
    </row>
    <row r="11" spans="1:20">
      <c r="A11" s="1" t="s">
        <v>1687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1690</v>
      </c>
      <c r="E12">
        <v>1</v>
      </c>
      <c r="N12">
        <v>1</v>
      </c>
    </row>
    <row r="13" spans="1:20">
      <c r="A13" s="1" t="s">
        <v>1872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1869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1688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1691</v>
      </c>
      <c r="J16">
        <v>2</v>
      </c>
      <c r="K16">
        <v>1</v>
      </c>
      <c r="N16">
        <v>3</v>
      </c>
    </row>
    <row r="17" spans="1:14">
      <c r="A17" s="1" t="s">
        <v>1870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1953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1949</v>
      </c>
      <c r="B1" t="s">
        <v>1952</v>
      </c>
    </row>
    <row r="2" spans="1:20">
      <c r="A2" s="29" t="s">
        <v>255</v>
      </c>
      <c r="B2" t="s">
        <v>1952</v>
      </c>
    </row>
    <row r="3" spans="1:20">
      <c r="A3" s="29" t="s">
        <v>243</v>
      </c>
      <c r="B3" t="s">
        <v>1694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1689</v>
      </c>
      <c r="B5" s="42" t="s">
        <v>1692</v>
      </c>
    </row>
    <row r="6" spans="1:20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20">
      <c r="A7" s="1" t="s">
        <v>1867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1868</v>
      </c>
      <c r="H8">
        <v>1</v>
      </c>
      <c r="I8">
        <v>3</v>
      </c>
      <c r="J8">
        <v>1</v>
      </c>
      <c r="M8">
        <v>5</v>
      </c>
    </row>
    <row r="9" spans="1:20">
      <c r="A9" s="1" t="s">
        <v>1871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1687</v>
      </c>
      <c r="G10">
        <v>1</v>
      </c>
      <c r="J10">
        <v>2</v>
      </c>
      <c r="M10">
        <v>3</v>
      </c>
    </row>
    <row r="11" spans="1:20">
      <c r="A11" s="1" t="s">
        <v>1872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1869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1688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1691</v>
      </c>
      <c r="J14">
        <v>1</v>
      </c>
      <c r="M14">
        <v>1</v>
      </c>
    </row>
    <row r="15" spans="1:20">
      <c r="A15" s="1" t="s">
        <v>1870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1953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29" t="s">
        <v>1949</v>
      </c>
      <c r="B1" t="s">
        <v>1952</v>
      </c>
    </row>
    <row r="2" spans="1:68">
      <c r="A2" s="29" t="s">
        <v>255</v>
      </c>
      <c r="B2" t="s">
        <v>1952</v>
      </c>
    </row>
    <row r="3" spans="1:68">
      <c r="A3" s="42" t="s">
        <v>245</v>
      </c>
      <c r="B3" t="s">
        <v>1694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9" t="s">
        <v>1689</v>
      </c>
      <c r="B5" s="42" t="s">
        <v>1692</v>
      </c>
    </row>
    <row r="6" spans="1:6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1953</v>
      </c>
    </row>
    <row r="7" spans="1:68">
      <c r="A7" s="1" t="s">
        <v>1867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1868</v>
      </c>
      <c r="G8">
        <v>1</v>
      </c>
      <c r="H8">
        <v>2</v>
      </c>
      <c r="K8">
        <v>3</v>
      </c>
    </row>
    <row r="9" spans="1:68">
      <c r="A9" s="1" t="s">
        <v>1871</v>
      </c>
      <c r="D9">
        <v>1</v>
      </c>
      <c r="G9">
        <v>2</v>
      </c>
      <c r="H9">
        <v>3</v>
      </c>
      <c r="K9">
        <v>6</v>
      </c>
    </row>
    <row r="10" spans="1:68">
      <c r="A10" s="1" t="s">
        <v>1687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1872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1869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1688</v>
      </c>
      <c r="I13">
        <v>2</v>
      </c>
      <c r="J13">
        <v>1</v>
      </c>
      <c r="K13">
        <v>3</v>
      </c>
    </row>
    <row r="14" spans="1:68">
      <c r="A14" t="s">
        <v>1691</v>
      </c>
      <c r="H14">
        <v>1</v>
      </c>
      <c r="K14">
        <v>1</v>
      </c>
    </row>
    <row r="15" spans="1:68">
      <c r="A15" s="1" t="s">
        <v>1870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1953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240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1953</v>
      </c>
    </row>
    <row r="7" spans="1:18">
      <c r="A7" s="1" t="s">
        <v>1867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1868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1871</v>
      </c>
      <c r="F9">
        <v>1</v>
      </c>
      <c r="G9">
        <v>3</v>
      </c>
      <c r="H9">
        <v>1</v>
      </c>
      <c r="K9">
        <v>5</v>
      </c>
    </row>
    <row r="10" spans="1:18">
      <c r="A10" s="1" t="s">
        <v>1687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1872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1869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1688</v>
      </c>
      <c r="H13">
        <v>2</v>
      </c>
      <c r="I13">
        <v>2</v>
      </c>
      <c r="J13">
        <v>1</v>
      </c>
      <c r="K13">
        <v>5</v>
      </c>
    </row>
    <row r="14" spans="1:18">
      <c r="A14" t="s">
        <v>1691</v>
      </c>
      <c r="H14">
        <v>1</v>
      </c>
      <c r="K14">
        <v>1</v>
      </c>
    </row>
    <row r="15" spans="1:18">
      <c r="A15" s="1" t="s">
        <v>1870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1953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2" sqref="A2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251</v>
      </c>
      <c r="C1" t="s">
        <v>252</v>
      </c>
      <c r="E1" s="10" t="s">
        <v>303</v>
      </c>
      <c r="G1" s="10" t="s">
        <v>304</v>
      </c>
      <c r="I1" t="s">
        <v>3</v>
      </c>
      <c r="K1" t="s">
        <v>302</v>
      </c>
      <c r="M1" s="19" t="s">
        <v>1064</v>
      </c>
      <c r="N1" s="19" t="s">
        <v>1065</v>
      </c>
      <c r="O1" s="20" t="s">
        <v>1713</v>
      </c>
      <c r="Q1" s="1" t="s">
        <v>1</v>
      </c>
    </row>
    <row r="2" spans="1:17">
      <c r="A2" t="s">
        <v>242</v>
      </c>
      <c r="C2" t="s">
        <v>253</v>
      </c>
      <c r="E2" t="s">
        <v>329</v>
      </c>
      <c r="G2" t="s">
        <v>330</v>
      </c>
      <c r="I2" t="s">
        <v>20</v>
      </c>
      <c r="K2" s="17" t="s">
        <v>263</v>
      </c>
      <c r="M2" s="20" t="s">
        <v>818</v>
      </c>
      <c r="N2" s="20" t="s">
        <v>570</v>
      </c>
      <c r="O2" s="20">
        <f>COUNTIF(COUNTRIES[COUNTRY_LABEL],COUNTRIES[[#This Row],[COUNTRY_LABEL]])</f>
        <v>1</v>
      </c>
      <c r="Q2" t="s">
        <v>27</v>
      </c>
    </row>
    <row r="3" spans="1:17">
      <c r="A3" t="s">
        <v>249</v>
      </c>
      <c r="C3" t="s">
        <v>254</v>
      </c>
      <c r="E3" t="s">
        <v>313</v>
      </c>
      <c r="G3" t="s">
        <v>314</v>
      </c>
      <c r="I3" t="s">
        <v>22</v>
      </c>
      <c r="K3" s="17" t="s">
        <v>265</v>
      </c>
      <c r="M3" s="20" t="s">
        <v>830</v>
      </c>
      <c r="N3" s="20" t="s">
        <v>582</v>
      </c>
      <c r="O3" s="20">
        <f>COUNTIF(COUNTRIES[COUNTRY_LABEL],COUNTRIES[[#This Row],[COUNTRY_LABEL]])</f>
        <v>1</v>
      </c>
      <c r="Q3" t="s">
        <v>1714</v>
      </c>
    </row>
    <row r="4" spans="1:17">
      <c r="A4" t="s">
        <v>248</v>
      </c>
      <c r="E4" t="s">
        <v>307</v>
      </c>
      <c r="G4" t="s">
        <v>308</v>
      </c>
      <c r="I4" t="s">
        <v>23</v>
      </c>
      <c r="K4" s="17" t="s">
        <v>266</v>
      </c>
      <c r="M4" s="20" t="s">
        <v>821</v>
      </c>
      <c r="N4" s="20" t="s">
        <v>573</v>
      </c>
      <c r="O4" s="20">
        <f>COUNTIF(COUNTRIES[COUNTRY_LABEL],COUNTRIES[[#This Row],[COUNTRY_LABEL]])</f>
        <v>1</v>
      </c>
      <c r="Q4" t="s">
        <v>1717</v>
      </c>
    </row>
    <row r="5" spans="1:17">
      <c r="A5" t="s">
        <v>250</v>
      </c>
      <c r="E5" t="s">
        <v>319</v>
      </c>
      <c r="G5" t="s">
        <v>320</v>
      </c>
      <c r="I5" t="s">
        <v>18</v>
      </c>
      <c r="K5" s="17" t="s">
        <v>268</v>
      </c>
      <c r="M5" s="20" t="s">
        <v>877</v>
      </c>
      <c r="N5" s="20" t="s">
        <v>628</v>
      </c>
      <c r="O5" s="20">
        <f>COUNTIF(COUNTRIES[COUNTRY_LABEL],COUNTRIES[[#This Row],[COUNTRY_LABEL]])</f>
        <v>1</v>
      </c>
      <c r="Q5" t="s">
        <v>28</v>
      </c>
    </row>
    <row r="6" spans="1:17">
      <c r="A6" t="s">
        <v>2012</v>
      </c>
      <c r="E6" t="s">
        <v>317</v>
      </c>
      <c r="G6" t="s">
        <v>318</v>
      </c>
      <c r="K6" s="17" t="s">
        <v>270</v>
      </c>
      <c r="M6" s="20" t="s">
        <v>826</v>
      </c>
      <c r="N6" s="20" t="s">
        <v>578</v>
      </c>
      <c r="O6" s="20">
        <f>COUNTIF(COUNTRIES[COUNTRY_LABEL],COUNTRIES[[#This Row],[COUNTRY_LABEL]])</f>
        <v>1</v>
      </c>
      <c r="Q6" t="s">
        <v>29</v>
      </c>
    </row>
    <row r="7" spans="1:17">
      <c r="A7" t="s">
        <v>247</v>
      </c>
      <c r="E7" t="s">
        <v>309</v>
      </c>
      <c r="G7" t="s">
        <v>310</v>
      </c>
      <c r="K7" s="17" t="s">
        <v>272</v>
      </c>
      <c r="M7" s="20" t="s">
        <v>816</v>
      </c>
      <c r="N7" s="20" t="s">
        <v>568</v>
      </c>
      <c r="O7" s="20">
        <f>COUNTIF(COUNTRIES[COUNTRY_LABEL],COUNTRIES[[#This Row],[COUNTRY_LABEL]])</f>
        <v>1</v>
      </c>
      <c r="Q7" t="s">
        <v>26</v>
      </c>
    </row>
    <row r="8" spans="1:17">
      <c r="A8" t="s">
        <v>2013</v>
      </c>
      <c r="E8" t="s">
        <v>321</v>
      </c>
      <c r="G8" t="s">
        <v>322</v>
      </c>
      <c r="K8" s="18" t="s">
        <v>274</v>
      </c>
      <c r="M8" s="20" t="s">
        <v>823</v>
      </c>
      <c r="N8" s="20" t="s">
        <v>575</v>
      </c>
      <c r="O8" s="20">
        <f>COUNTIF(COUNTRIES[COUNTRY_LABEL],COUNTRIES[[#This Row],[COUNTRY_LABEL]])</f>
        <v>1</v>
      </c>
      <c r="Q8" t="s">
        <v>30</v>
      </c>
    </row>
    <row r="9" spans="1:17">
      <c r="A9" t="s">
        <v>2014</v>
      </c>
      <c r="E9" t="s">
        <v>1888</v>
      </c>
      <c r="G9" t="s">
        <v>1889</v>
      </c>
      <c r="K9" s="18" t="s">
        <v>276</v>
      </c>
      <c r="M9" s="20" t="s">
        <v>820</v>
      </c>
      <c r="N9" s="20" t="s">
        <v>572</v>
      </c>
      <c r="O9" s="20">
        <f>COUNTIF(COUNTRIES[COUNTRY_LABEL],COUNTRIES[[#This Row],[COUNTRY_LABEL]])</f>
        <v>1</v>
      </c>
      <c r="Q9" t="s">
        <v>31</v>
      </c>
    </row>
    <row r="10" spans="1:17">
      <c r="A10" t="s">
        <v>245</v>
      </c>
      <c r="E10" t="s">
        <v>325</v>
      </c>
      <c r="G10" t="s">
        <v>326</v>
      </c>
      <c r="K10" s="18" t="s">
        <v>278</v>
      </c>
      <c r="M10" s="20" t="s">
        <v>824</v>
      </c>
      <c r="N10" s="20" t="s">
        <v>576</v>
      </c>
      <c r="O10" s="20">
        <f>COUNTIF(COUNTRIES[COUNTRY_LABEL],COUNTRIES[[#This Row],[COUNTRY_LABEL]])</f>
        <v>1</v>
      </c>
      <c r="Q10" t="s">
        <v>32</v>
      </c>
    </row>
    <row r="11" spans="1:17">
      <c r="A11" t="s">
        <v>238</v>
      </c>
      <c r="E11" t="s">
        <v>1756</v>
      </c>
      <c r="G11" t="s">
        <v>1757</v>
      </c>
      <c r="K11" s="18" t="s">
        <v>1891</v>
      </c>
      <c r="M11" s="20" t="s">
        <v>819</v>
      </c>
      <c r="N11" s="20" t="s">
        <v>571</v>
      </c>
      <c r="O11" s="20">
        <f>COUNTIF(COUNTRIES[COUNTRY_LABEL],COUNTRIES[[#This Row],[COUNTRY_LABEL]])</f>
        <v>1</v>
      </c>
      <c r="Q11" t="s">
        <v>21</v>
      </c>
    </row>
    <row r="12" spans="1:17">
      <c r="A12" t="s">
        <v>2011</v>
      </c>
      <c r="E12" t="s">
        <v>315</v>
      </c>
      <c r="G12" t="s">
        <v>316</v>
      </c>
      <c r="K12" s="17" t="s">
        <v>281</v>
      </c>
      <c r="M12" s="20" t="s">
        <v>825</v>
      </c>
      <c r="N12" s="20" t="s">
        <v>577</v>
      </c>
      <c r="O12" s="20">
        <f>COUNTIF(COUNTRIES[COUNTRY_LABEL],COUNTRIES[[#This Row],[COUNTRY_LABEL]])</f>
        <v>1</v>
      </c>
      <c r="Q12" t="s">
        <v>33</v>
      </c>
    </row>
    <row r="13" spans="1:17">
      <c r="A13" t="s">
        <v>244</v>
      </c>
      <c r="E13" t="s">
        <v>323</v>
      </c>
      <c r="G13" t="s">
        <v>324</v>
      </c>
      <c r="K13" s="17" t="s">
        <v>283</v>
      </c>
      <c r="M13" s="20" t="s">
        <v>822</v>
      </c>
      <c r="N13" s="20" t="s">
        <v>574</v>
      </c>
      <c r="O13" s="20">
        <f>COUNTIF(COUNTRIES[COUNTRY_LABEL],COUNTRIES[[#This Row],[COUNTRY_LABEL]])</f>
        <v>1</v>
      </c>
      <c r="Q13" t="s">
        <v>34</v>
      </c>
    </row>
    <row r="14" spans="1:17">
      <c r="A14" t="s">
        <v>2015</v>
      </c>
      <c r="E14" t="s">
        <v>311</v>
      </c>
      <c r="G14" t="s">
        <v>312</v>
      </c>
      <c r="K14" s="18" t="s">
        <v>294</v>
      </c>
      <c r="M14" s="20" t="s">
        <v>829</v>
      </c>
      <c r="N14" s="20" t="s">
        <v>581</v>
      </c>
      <c r="O14" s="20">
        <f>COUNTIF(COUNTRIES[COUNTRY_LABEL],COUNTRIES[[#This Row],[COUNTRY_LABEL]])</f>
        <v>1</v>
      </c>
      <c r="Q14" t="s">
        <v>1715</v>
      </c>
    </row>
    <row r="15" spans="1:17">
      <c r="A15" t="s">
        <v>243</v>
      </c>
      <c r="E15" t="s">
        <v>305</v>
      </c>
      <c r="G15" t="s">
        <v>306</v>
      </c>
      <c r="K15" s="17" t="s">
        <v>295</v>
      </c>
      <c r="M15" s="20" t="s">
        <v>828</v>
      </c>
      <c r="N15" s="20" t="s">
        <v>580</v>
      </c>
      <c r="O15" s="20">
        <f>COUNTIF(COUNTRIES[COUNTRY_LABEL],COUNTRIES[[#This Row],[COUNTRY_LABEL]])</f>
        <v>1</v>
      </c>
      <c r="Q15" t="s">
        <v>1718</v>
      </c>
    </row>
    <row r="16" spans="1:17">
      <c r="A16" t="s">
        <v>241</v>
      </c>
      <c r="E16" t="s">
        <v>327</v>
      </c>
      <c r="G16" t="s">
        <v>328</v>
      </c>
      <c r="K16" s="17" t="s">
        <v>296</v>
      </c>
      <c r="M16" s="20" t="s">
        <v>827</v>
      </c>
      <c r="N16" s="20" t="s">
        <v>579</v>
      </c>
      <c r="O16" s="20">
        <f>COUNTIF(COUNTRIES[COUNTRY_LABEL],COUNTRIES[[#This Row],[COUNTRY_LABEL]])</f>
        <v>1</v>
      </c>
      <c r="Q16" t="s">
        <v>1774</v>
      </c>
    </row>
    <row r="17" spans="1:17">
      <c r="A17" t="s">
        <v>2010</v>
      </c>
      <c r="K17" s="18" t="s">
        <v>297</v>
      </c>
      <c r="M17" s="20" t="s">
        <v>831</v>
      </c>
      <c r="N17" s="20" t="s">
        <v>583</v>
      </c>
      <c r="O17" s="20">
        <f>COUNTIF(COUNTRIES[COUNTRY_LABEL],COUNTRIES[[#This Row],[COUNTRY_LABEL]])</f>
        <v>1</v>
      </c>
      <c r="Q17" t="s">
        <v>39</v>
      </c>
    </row>
    <row r="18" spans="1:17">
      <c r="A18" t="s">
        <v>2016</v>
      </c>
      <c r="K18" s="18" t="s">
        <v>288</v>
      </c>
      <c r="M18" s="20" t="s">
        <v>847</v>
      </c>
      <c r="N18" s="20" t="s">
        <v>598</v>
      </c>
      <c r="O18" s="20">
        <f>COUNTIF(COUNTRIES[COUNTRY_LABEL],COUNTRIES[[#This Row],[COUNTRY_LABEL]])</f>
        <v>1</v>
      </c>
      <c r="Q18" t="s">
        <v>19</v>
      </c>
    </row>
    <row r="19" spans="1:17">
      <c r="A19" t="s">
        <v>246</v>
      </c>
      <c r="K19" s="18" t="s">
        <v>289</v>
      </c>
      <c r="M19" s="20" t="s">
        <v>838</v>
      </c>
      <c r="N19" s="20" t="s">
        <v>590</v>
      </c>
      <c r="O19" s="20">
        <f>COUNTIF(COUNTRIES[COUNTRY_LABEL],COUNTRIES[[#This Row],[COUNTRY_LABEL]])</f>
        <v>1</v>
      </c>
      <c r="Q19" t="s">
        <v>38</v>
      </c>
    </row>
    <row r="20" spans="1:17">
      <c r="A20" t="s">
        <v>240</v>
      </c>
      <c r="K20" s="18" t="s">
        <v>1759</v>
      </c>
      <c r="M20" s="20" t="s">
        <v>834</v>
      </c>
      <c r="N20" s="20" t="s">
        <v>586</v>
      </c>
      <c r="O20" s="20">
        <f>COUNTIF(COUNTRIES[COUNTRY_LABEL],COUNTRIES[[#This Row],[COUNTRY_LABEL]])</f>
        <v>1</v>
      </c>
      <c r="Q20" t="s">
        <v>17</v>
      </c>
    </row>
    <row r="21" spans="1:17">
      <c r="A21" t="s">
        <v>239</v>
      </c>
      <c r="K21" s="18" t="s">
        <v>290</v>
      </c>
      <c r="M21" s="20" t="s">
        <v>833</v>
      </c>
      <c r="N21" s="20" t="s">
        <v>585</v>
      </c>
      <c r="O21" s="20">
        <f>COUNTIF(COUNTRIES[COUNTRY_LABEL],COUNTRIES[[#This Row],[COUNTRY_LABEL]])</f>
        <v>1</v>
      </c>
      <c r="Q21" t="s">
        <v>24</v>
      </c>
    </row>
    <row r="22" spans="1:17">
      <c r="K22" s="18" t="s">
        <v>292</v>
      </c>
      <c r="M22" s="20" t="s">
        <v>851</v>
      </c>
      <c r="N22" s="20" t="s">
        <v>602</v>
      </c>
      <c r="O22" s="20">
        <f>COUNTIF(COUNTRIES[COUNTRY_LABEL],COUNTRIES[[#This Row],[COUNTRY_LABEL]])</f>
        <v>1</v>
      </c>
      <c r="Q22" t="s">
        <v>35</v>
      </c>
    </row>
    <row r="23" spans="1:17">
      <c r="K23" s="18" t="s">
        <v>285</v>
      </c>
      <c r="M23" s="20" t="s">
        <v>835</v>
      </c>
      <c r="N23" s="20" t="s">
        <v>587</v>
      </c>
      <c r="O23" s="20">
        <f>COUNTIF(COUNTRIES[COUNTRY_LABEL],COUNTRIES[[#This Row],[COUNTRY_LABEL]])</f>
        <v>1</v>
      </c>
      <c r="Q23" t="s">
        <v>1716</v>
      </c>
    </row>
    <row r="24" spans="1:17">
      <c r="K24" s="18" t="s">
        <v>1562</v>
      </c>
      <c r="M24" s="20" t="s">
        <v>852</v>
      </c>
      <c r="N24" s="20" t="s">
        <v>603</v>
      </c>
      <c r="O24" s="20">
        <f>COUNTIF(COUNTRIES[COUNTRY_LABEL],COUNTRIES[[#This Row],[COUNTRY_LABEL]])</f>
        <v>1</v>
      </c>
      <c r="Q24" t="s">
        <v>1719</v>
      </c>
    </row>
    <row r="25" spans="1:17">
      <c r="M25" s="20" t="s">
        <v>840</v>
      </c>
      <c r="N25" s="20" t="s">
        <v>592</v>
      </c>
      <c r="O25" s="20">
        <f>COUNTIF(COUNTRIES[COUNTRY_LABEL],COUNTRIES[[#This Row],[COUNTRY_LABEL]])</f>
        <v>1</v>
      </c>
      <c r="Q25" t="s">
        <v>36</v>
      </c>
    </row>
    <row r="26" spans="1:17">
      <c r="M26" s="20" t="s">
        <v>842</v>
      </c>
      <c r="N26" s="20" t="s">
        <v>593</v>
      </c>
      <c r="O26" s="20">
        <f>COUNTIF(COUNTRIES[COUNTRY_LABEL],COUNTRIES[[#This Row],[COUNTRY_LABEL]])</f>
        <v>1</v>
      </c>
      <c r="Q26" t="s">
        <v>37</v>
      </c>
    </row>
    <row r="27" spans="1:17">
      <c r="M27" s="20" t="s">
        <v>848</v>
      </c>
      <c r="N27" s="20" t="s">
        <v>599</v>
      </c>
      <c r="O27" s="20">
        <f>COUNTIF(COUNTRIES[COUNTRY_LABEL],COUNTRIES[[#This Row],[COUNTRY_LABEL]])</f>
        <v>1</v>
      </c>
    </row>
    <row r="28" spans="1:17">
      <c r="M28" s="20" t="s">
        <v>844</v>
      </c>
      <c r="N28" s="20" t="s">
        <v>595</v>
      </c>
      <c r="O28" s="20">
        <f>COUNTIF(COUNTRIES[COUNTRY_LABEL],COUNTRIES[[#This Row],[COUNTRY_LABEL]])</f>
        <v>1</v>
      </c>
    </row>
    <row r="29" spans="1:17">
      <c r="M29" s="20" t="s">
        <v>832</v>
      </c>
      <c r="N29" s="20" t="s">
        <v>584</v>
      </c>
      <c r="O29" s="20">
        <f>COUNTIF(COUNTRIES[COUNTRY_LABEL],COUNTRIES[[#This Row],[COUNTRY_LABEL]])</f>
        <v>1</v>
      </c>
    </row>
    <row r="30" spans="1:17">
      <c r="M30" s="20" t="s">
        <v>850</v>
      </c>
      <c r="N30" s="20" t="s">
        <v>601</v>
      </c>
      <c r="O30" s="20">
        <f>COUNTIF(COUNTRIES[COUNTRY_LABEL],COUNTRIES[[#This Row],[COUNTRY_LABEL]])</f>
        <v>1</v>
      </c>
    </row>
    <row r="31" spans="1:17">
      <c r="M31" s="20" t="s">
        <v>849</v>
      </c>
      <c r="N31" s="20" t="s">
        <v>600</v>
      </c>
      <c r="O31" s="20">
        <f>COUNTIF(COUNTRIES[COUNTRY_LABEL],COUNTRIES[[#This Row],[COUNTRY_LABEL]])</f>
        <v>1</v>
      </c>
    </row>
    <row r="32" spans="1:17">
      <c r="M32" s="20" t="s">
        <v>846</v>
      </c>
      <c r="N32" s="20" t="s">
        <v>597</v>
      </c>
      <c r="O32" s="20">
        <f>COUNTIF(COUNTRIES[COUNTRY_LABEL],COUNTRIES[[#This Row],[COUNTRY_LABEL]])</f>
        <v>1</v>
      </c>
    </row>
    <row r="33" spans="13:15">
      <c r="M33" s="20" t="s">
        <v>921</v>
      </c>
      <c r="N33" s="20" t="s">
        <v>671</v>
      </c>
      <c r="O33" s="20">
        <f>COUNTIF(COUNTRIES[COUNTRY_LABEL],COUNTRIES[[#This Row],[COUNTRY_LABEL]])</f>
        <v>1</v>
      </c>
    </row>
    <row r="34" spans="13:15">
      <c r="M34" s="20" t="s">
        <v>843</v>
      </c>
      <c r="N34" s="20" t="s">
        <v>594</v>
      </c>
      <c r="O34" s="20">
        <f>COUNTIF(COUNTRIES[COUNTRY_LABEL],COUNTRIES[[#This Row],[COUNTRY_LABEL]])</f>
        <v>1</v>
      </c>
    </row>
    <row r="35" spans="13:15">
      <c r="M35" s="20" t="s">
        <v>837</v>
      </c>
      <c r="N35" s="20" t="s">
        <v>589</v>
      </c>
      <c r="O35" s="20">
        <f>COUNTIF(COUNTRIES[COUNTRY_LABEL],COUNTRIES[[#This Row],[COUNTRY_LABEL]])</f>
        <v>1</v>
      </c>
    </row>
    <row r="36" spans="13:15">
      <c r="M36" s="20" t="s">
        <v>836</v>
      </c>
      <c r="N36" s="20" t="s">
        <v>588</v>
      </c>
      <c r="O36" s="20">
        <f>COUNTIF(COUNTRIES[COUNTRY_LABEL],COUNTRIES[[#This Row],[COUNTRY_LABEL]])</f>
        <v>1</v>
      </c>
    </row>
    <row r="37" spans="13:15">
      <c r="M37" s="20" t="s">
        <v>839</v>
      </c>
      <c r="N37" s="20" t="s">
        <v>591</v>
      </c>
      <c r="O37" s="20">
        <f>COUNTIF(COUNTRIES[COUNTRY_LABEL],COUNTRIES[[#This Row],[COUNTRY_LABEL]])</f>
        <v>1</v>
      </c>
    </row>
    <row r="38" spans="13:15">
      <c r="M38" s="20" t="s">
        <v>932</v>
      </c>
      <c r="N38" s="20" t="s">
        <v>682</v>
      </c>
      <c r="O38" s="20">
        <f>COUNTIF(COUNTRIES[COUNTRY_LABEL],COUNTRIES[[#This Row],[COUNTRY_LABEL]])</f>
        <v>1</v>
      </c>
    </row>
    <row r="39" spans="13:15">
      <c r="M39" s="20" t="s">
        <v>862</v>
      </c>
      <c r="N39" s="20" t="s">
        <v>613</v>
      </c>
      <c r="O39" s="20">
        <f>COUNTIF(COUNTRIES[COUNTRY_LABEL],COUNTRIES[[#This Row],[COUNTRY_LABEL]])</f>
        <v>1</v>
      </c>
    </row>
    <row r="40" spans="13:15">
      <c r="M40" s="20" t="s">
        <v>853</v>
      </c>
      <c r="N40" s="20" t="s">
        <v>604</v>
      </c>
      <c r="O40" s="20">
        <f>COUNTIF(COUNTRIES[COUNTRY_LABEL],COUNTRIES[[#This Row],[COUNTRY_LABEL]])</f>
        <v>1</v>
      </c>
    </row>
    <row r="41" spans="13:15">
      <c r="M41" s="20" t="s">
        <v>867</v>
      </c>
      <c r="N41" s="20" t="s">
        <v>618</v>
      </c>
      <c r="O41" s="20">
        <f>COUNTIF(COUNTRIES[COUNTRY_LABEL],COUNTRIES[[#This Row],[COUNTRY_LABEL]])</f>
        <v>1</v>
      </c>
    </row>
    <row r="42" spans="13:15">
      <c r="M42" s="20" t="s">
        <v>845</v>
      </c>
      <c r="N42" s="20" t="s">
        <v>596</v>
      </c>
      <c r="O42" s="20">
        <f>COUNTIF(COUNTRIES[COUNTRY_LABEL],COUNTRIES[[#This Row],[COUNTRY_LABEL]])</f>
        <v>1</v>
      </c>
    </row>
    <row r="43" spans="13:15">
      <c r="M43" s="20" t="s">
        <v>939</v>
      </c>
      <c r="N43" s="20" t="s">
        <v>689</v>
      </c>
      <c r="O43" s="20">
        <f>COUNTIF(COUNTRIES[COUNTRY_LABEL],COUNTRIES[[#This Row],[COUNTRY_LABEL]])</f>
        <v>1</v>
      </c>
    </row>
    <row r="44" spans="13:15">
      <c r="M44" s="20" t="s">
        <v>856</v>
      </c>
      <c r="N44" s="20" t="s">
        <v>607</v>
      </c>
      <c r="O44" s="20">
        <f>COUNTIF(COUNTRIES[COUNTRY_LABEL],COUNTRIES[[#This Row],[COUNTRY_LABEL]])</f>
        <v>1</v>
      </c>
    </row>
    <row r="45" spans="13:15">
      <c r="M45" s="20" t="s">
        <v>1029</v>
      </c>
      <c r="N45" s="20" t="s">
        <v>779</v>
      </c>
      <c r="O45" s="20">
        <f>COUNTIF(COUNTRIES[COUNTRY_LABEL],COUNTRIES[[#This Row],[COUNTRY_LABEL]])</f>
        <v>1</v>
      </c>
    </row>
    <row r="46" spans="13:15">
      <c r="M46" s="20" t="s">
        <v>861</v>
      </c>
      <c r="N46" s="20" t="s">
        <v>612</v>
      </c>
      <c r="O46" s="20">
        <f>COUNTIF(COUNTRIES[COUNTRY_LABEL],COUNTRIES[[#This Row],[COUNTRY_LABEL]])</f>
        <v>1</v>
      </c>
    </row>
    <row r="47" spans="13:15">
      <c r="M47" s="20" t="s">
        <v>863</v>
      </c>
      <c r="N47" s="20" t="s">
        <v>614</v>
      </c>
      <c r="O47" s="20">
        <f>COUNTIF(COUNTRIES[COUNTRY_LABEL],COUNTRIES[[#This Row],[COUNTRY_LABEL]])</f>
        <v>1</v>
      </c>
    </row>
    <row r="48" spans="13:15">
      <c r="M48" s="20" t="s">
        <v>869</v>
      </c>
      <c r="N48" s="20" t="s">
        <v>620</v>
      </c>
      <c r="O48" s="20">
        <f>COUNTIF(COUNTRIES[COUNTRY_LABEL],COUNTRIES[[#This Row],[COUNTRY_LABEL]])</f>
        <v>1</v>
      </c>
    </row>
    <row r="49" spans="13:15">
      <c r="M49" s="20" t="s">
        <v>854</v>
      </c>
      <c r="N49" s="20" t="s">
        <v>605</v>
      </c>
      <c r="O49" s="20">
        <f>COUNTIF(COUNTRIES[COUNTRY_LABEL],COUNTRIES[[#This Row],[COUNTRY_LABEL]])</f>
        <v>1</v>
      </c>
    </row>
    <row r="50" spans="13:15">
      <c r="M50" s="20" t="s">
        <v>864</v>
      </c>
      <c r="N50" s="20" t="s">
        <v>615</v>
      </c>
      <c r="O50" s="20">
        <f>COUNTIF(COUNTRIES[COUNTRY_LABEL],COUNTRIES[[#This Row],[COUNTRY_LABEL]])</f>
        <v>1</v>
      </c>
    </row>
    <row r="51" spans="13:15">
      <c r="M51" s="20" t="s">
        <v>934</v>
      </c>
      <c r="N51" s="20" t="s">
        <v>684</v>
      </c>
      <c r="O51" s="20">
        <f>COUNTIF(COUNTRIES[COUNTRY_LABEL],COUNTRIES[[#This Row],[COUNTRY_LABEL]])</f>
        <v>1</v>
      </c>
    </row>
    <row r="52" spans="13:15">
      <c r="M52" s="20" t="s">
        <v>860</v>
      </c>
      <c r="N52" s="20" t="s">
        <v>611</v>
      </c>
      <c r="O52" s="20">
        <f>COUNTIF(COUNTRIES[COUNTRY_LABEL],COUNTRIES[[#This Row],[COUNTRY_LABEL]])</f>
        <v>1</v>
      </c>
    </row>
    <row r="53" spans="13:15">
      <c r="M53" s="20" t="s">
        <v>865</v>
      </c>
      <c r="N53" s="20" t="s">
        <v>616</v>
      </c>
      <c r="O53" s="20">
        <f>COUNTIF(COUNTRIES[COUNTRY_LABEL],COUNTRIES[[#This Row],[COUNTRY_LABEL]])</f>
        <v>1</v>
      </c>
    </row>
    <row r="54" spans="13:15">
      <c r="M54" s="20" t="s">
        <v>913</v>
      </c>
      <c r="N54" s="20" t="s">
        <v>663</v>
      </c>
      <c r="O54" s="20">
        <f>COUNTIF(COUNTRIES[COUNTRY_LABEL],COUNTRIES[[#This Row],[COUNTRY_LABEL]])</f>
        <v>1</v>
      </c>
    </row>
    <row r="55" spans="13:15">
      <c r="M55" s="20" t="s">
        <v>866</v>
      </c>
      <c r="N55" s="20" t="s">
        <v>617</v>
      </c>
      <c r="O55" s="20">
        <f>COUNTIF(COUNTRIES[COUNTRY_LABEL],COUNTRIES[[#This Row],[COUNTRY_LABEL]])</f>
        <v>1</v>
      </c>
    </row>
    <row r="56" spans="13:15">
      <c r="M56" s="20" t="s">
        <v>868</v>
      </c>
      <c r="N56" s="20" t="s">
        <v>619</v>
      </c>
      <c r="O56" s="20">
        <f>COUNTIF(COUNTRIES[COUNTRY_LABEL],COUNTRIES[[#This Row],[COUNTRY_LABEL]])</f>
        <v>1</v>
      </c>
    </row>
    <row r="57" spans="13:15">
      <c r="M57" s="20" t="s">
        <v>870</v>
      </c>
      <c r="N57" s="20" t="s">
        <v>621</v>
      </c>
      <c r="O57" s="20">
        <f>COUNTIF(COUNTRIES[COUNTRY_LABEL],COUNTRIES[[#This Row],[COUNTRY_LABEL]])</f>
        <v>1</v>
      </c>
    </row>
    <row r="58" spans="13:15">
      <c r="M58" s="20" t="s">
        <v>871</v>
      </c>
      <c r="N58" s="20" t="s">
        <v>622</v>
      </c>
      <c r="O58" s="20">
        <f>COUNTIF(COUNTRIES[COUNTRY_LABEL],COUNTRIES[[#This Row],[COUNTRY_LABEL]])</f>
        <v>1</v>
      </c>
    </row>
    <row r="59" spans="13:15">
      <c r="M59" s="20" t="s">
        <v>855</v>
      </c>
      <c r="N59" s="20" t="s">
        <v>606</v>
      </c>
      <c r="O59" s="20">
        <f>COUNTIF(COUNTRIES[COUNTRY_LABEL],COUNTRIES[[#This Row],[COUNTRY_LABEL]])</f>
        <v>1</v>
      </c>
    </row>
    <row r="60" spans="13:15">
      <c r="M60" s="20" t="s">
        <v>874</v>
      </c>
      <c r="N60" s="20" t="s">
        <v>625</v>
      </c>
      <c r="O60" s="20">
        <f>COUNTIF(COUNTRIES[COUNTRY_LABEL],COUNTRIES[[#This Row],[COUNTRY_LABEL]])</f>
        <v>1</v>
      </c>
    </row>
    <row r="61" spans="13:15">
      <c r="M61" s="20" t="s">
        <v>873</v>
      </c>
      <c r="N61" s="20" t="s">
        <v>624</v>
      </c>
      <c r="O61" s="20">
        <f>COUNTIF(COUNTRIES[COUNTRY_LABEL],COUNTRIES[[#This Row],[COUNTRY_LABEL]])</f>
        <v>1</v>
      </c>
    </row>
    <row r="62" spans="13:15">
      <c r="M62" s="20" t="s">
        <v>875</v>
      </c>
      <c r="N62" s="20" t="s">
        <v>626</v>
      </c>
      <c r="O62" s="20">
        <f>COUNTIF(COUNTRIES[COUNTRY_LABEL],COUNTRIES[[#This Row],[COUNTRY_LABEL]])</f>
        <v>1</v>
      </c>
    </row>
    <row r="63" spans="13:15">
      <c r="M63" s="20" t="s">
        <v>876</v>
      </c>
      <c r="N63" s="20" t="s">
        <v>627</v>
      </c>
      <c r="O63" s="20">
        <f>COUNTIF(COUNTRIES[COUNTRY_LABEL],COUNTRIES[[#This Row],[COUNTRY_LABEL]])</f>
        <v>1</v>
      </c>
    </row>
    <row r="64" spans="13:15">
      <c r="M64" s="20" t="s">
        <v>1073</v>
      </c>
      <c r="N64" s="20" t="s">
        <v>813</v>
      </c>
      <c r="O64" s="20">
        <f>COUNTIF(COUNTRIES[COUNTRY_LABEL],COUNTRIES[[#This Row],[COUNTRY_LABEL]])</f>
        <v>1</v>
      </c>
    </row>
    <row r="65" spans="13:15">
      <c r="M65" s="20" t="s">
        <v>878</v>
      </c>
      <c r="N65" s="20" t="s">
        <v>629</v>
      </c>
      <c r="O65" s="20">
        <f>COUNTIF(COUNTRIES[COUNTRY_LABEL],COUNTRIES[[#This Row],[COUNTRY_LABEL]])</f>
        <v>1</v>
      </c>
    </row>
    <row r="66" spans="13:15">
      <c r="M66" s="20" t="s">
        <v>880</v>
      </c>
      <c r="N66" s="20" t="s">
        <v>631</v>
      </c>
      <c r="O66" s="20">
        <f>COUNTIF(COUNTRIES[COUNTRY_LABEL],COUNTRIES[[#This Row],[COUNTRY_LABEL]])</f>
        <v>1</v>
      </c>
    </row>
    <row r="67" spans="13:15">
      <c r="M67" s="20" t="s">
        <v>1024</v>
      </c>
      <c r="N67" s="20" t="s">
        <v>774</v>
      </c>
      <c r="O67" s="20">
        <f>COUNTIF(COUNTRIES[COUNTRY_LABEL],COUNTRIES[[#This Row],[COUNTRY_LABEL]])</f>
        <v>1</v>
      </c>
    </row>
    <row r="68" spans="13:15">
      <c r="M68" s="20" t="s">
        <v>903</v>
      </c>
      <c r="N68" s="20" t="s">
        <v>653</v>
      </c>
      <c r="O68" s="20">
        <f>COUNTIF(COUNTRIES[COUNTRY_LABEL],COUNTRIES[[#This Row],[COUNTRY_LABEL]])</f>
        <v>1</v>
      </c>
    </row>
    <row r="69" spans="13:15">
      <c r="M69" s="20" t="s">
        <v>882</v>
      </c>
      <c r="N69" s="20" t="s">
        <v>633</v>
      </c>
      <c r="O69" s="20">
        <f>COUNTIF(COUNTRIES[COUNTRY_LABEL],COUNTRIES[[#This Row],[COUNTRY_LABEL]])</f>
        <v>1</v>
      </c>
    </row>
    <row r="70" spans="13:15">
      <c r="M70" s="20" t="s">
        <v>879</v>
      </c>
      <c r="N70" s="20" t="s">
        <v>630</v>
      </c>
      <c r="O70" s="20">
        <f>COUNTIF(COUNTRIES[COUNTRY_LABEL],COUNTRIES[[#This Row],[COUNTRY_LABEL]])</f>
        <v>1</v>
      </c>
    </row>
    <row r="71" spans="13:15">
      <c r="M71" s="20" t="s">
        <v>1027</v>
      </c>
      <c r="N71" s="20" t="s">
        <v>777</v>
      </c>
      <c r="O71" s="20">
        <f>COUNTIF(COUNTRIES[COUNTRY_LABEL],COUNTRIES[[#This Row],[COUNTRY_LABEL]])</f>
        <v>1</v>
      </c>
    </row>
    <row r="72" spans="13:15">
      <c r="M72" s="20" t="s">
        <v>884</v>
      </c>
      <c r="N72" s="20" t="s">
        <v>635</v>
      </c>
      <c r="O72" s="20">
        <f>COUNTIF(COUNTRIES[COUNTRY_LABEL],COUNTRIES[[#This Row],[COUNTRY_LABEL]])</f>
        <v>1</v>
      </c>
    </row>
    <row r="73" spans="13:15">
      <c r="M73" s="20" t="s">
        <v>1072</v>
      </c>
      <c r="N73" s="20" t="s">
        <v>814</v>
      </c>
      <c r="O73" s="20">
        <f>COUNTIF(COUNTRIES[COUNTRY_LABEL],COUNTRIES[[#This Row],[COUNTRY_LABEL]])</f>
        <v>1</v>
      </c>
    </row>
    <row r="74" spans="13:15">
      <c r="M74" s="20" t="s">
        <v>887</v>
      </c>
      <c r="N74" s="20" t="s">
        <v>638</v>
      </c>
      <c r="O74" s="20">
        <f>COUNTIF(COUNTRIES[COUNTRY_LABEL],COUNTRIES[[#This Row],[COUNTRY_LABEL]])</f>
        <v>1</v>
      </c>
    </row>
    <row r="75" spans="13:15">
      <c r="M75" s="20" t="s">
        <v>889</v>
      </c>
      <c r="N75" s="20" t="s">
        <v>640</v>
      </c>
      <c r="O75" s="20">
        <f>COUNTIF(COUNTRIES[COUNTRY_LABEL],COUNTRIES[[#This Row],[COUNTRY_LABEL]])</f>
        <v>1</v>
      </c>
    </row>
    <row r="76" spans="13:15">
      <c r="M76" s="20" t="s">
        <v>886</v>
      </c>
      <c r="N76" s="20" t="s">
        <v>637</v>
      </c>
      <c r="O76" s="20">
        <f>COUNTIF(COUNTRIES[COUNTRY_LABEL],COUNTRIES[[#This Row],[COUNTRY_LABEL]])</f>
        <v>1</v>
      </c>
    </row>
    <row r="77" spans="13:15">
      <c r="M77" s="20" t="s">
        <v>885</v>
      </c>
      <c r="N77" s="20" t="s">
        <v>636</v>
      </c>
      <c r="O77" s="20">
        <f>COUNTIF(COUNTRIES[COUNTRY_LABEL],COUNTRIES[[#This Row],[COUNTRY_LABEL]])</f>
        <v>1</v>
      </c>
    </row>
    <row r="78" spans="13:15">
      <c r="M78" s="20" t="s">
        <v>890</v>
      </c>
      <c r="N78" s="20" t="s">
        <v>641</v>
      </c>
      <c r="O78" s="20">
        <f>COUNTIF(COUNTRIES[COUNTRY_LABEL],COUNTRIES[[#This Row],[COUNTRY_LABEL]])</f>
        <v>1</v>
      </c>
    </row>
    <row r="79" spans="13:15">
      <c r="M79" s="20" t="s">
        <v>895</v>
      </c>
      <c r="N79" s="20" t="s">
        <v>645</v>
      </c>
      <c r="O79" s="20">
        <f>COUNTIF(COUNTRIES[COUNTRY_LABEL],COUNTRIES[[#This Row],[COUNTRY_LABEL]])</f>
        <v>1</v>
      </c>
    </row>
    <row r="80" spans="13:15">
      <c r="M80" s="20" t="s">
        <v>989</v>
      </c>
      <c r="N80" s="20" t="s">
        <v>740</v>
      </c>
      <c r="O80" s="20">
        <f>COUNTIF(COUNTRIES[COUNTRY_LABEL],COUNTRIES[[#This Row],[COUNTRY_LABEL]])</f>
        <v>1</v>
      </c>
    </row>
    <row r="81" spans="13:15">
      <c r="M81" s="20" t="s">
        <v>1030</v>
      </c>
      <c r="N81" s="20" t="s">
        <v>780</v>
      </c>
      <c r="O81" s="20">
        <f>COUNTIF(COUNTRIES[COUNTRY_LABEL],COUNTRIES[[#This Row],[COUNTRY_LABEL]])</f>
        <v>1</v>
      </c>
    </row>
    <row r="82" spans="13:15">
      <c r="M82" s="20" t="s">
        <v>891</v>
      </c>
      <c r="N82" s="20" t="s">
        <v>1068</v>
      </c>
      <c r="O82" s="20">
        <f>COUNTIF(COUNTRIES[COUNTRY_LABEL],COUNTRIES[[#This Row],[COUNTRY_LABEL]])</f>
        <v>1</v>
      </c>
    </row>
    <row r="83" spans="13:15">
      <c r="M83" s="20" t="s">
        <v>900</v>
      </c>
      <c r="N83" s="20" t="s">
        <v>650</v>
      </c>
      <c r="O83" s="20">
        <f>COUNTIF(COUNTRIES[COUNTRY_LABEL],COUNTRIES[[#This Row],[COUNTRY_LABEL]])</f>
        <v>1</v>
      </c>
    </row>
    <row r="84" spans="13:15">
      <c r="M84" s="20" t="s">
        <v>906</v>
      </c>
      <c r="N84" s="20" t="s">
        <v>656</v>
      </c>
      <c r="O84" s="20">
        <f>COUNTIF(COUNTRIES[COUNTRY_LABEL],COUNTRIES[[#This Row],[COUNTRY_LABEL]])</f>
        <v>1</v>
      </c>
    </row>
    <row r="85" spans="13:15">
      <c r="M85" s="20" t="s">
        <v>894</v>
      </c>
      <c r="N85" s="20" t="s">
        <v>644</v>
      </c>
      <c r="O85" s="20">
        <f>COUNTIF(COUNTRIES[COUNTRY_LABEL],COUNTRIES[[#This Row],[COUNTRY_LABEL]])</f>
        <v>1</v>
      </c>
    </row>
    <row r="86" spans="13:15">
      <c r="M86" s="20" t="s">
        <v>872</v>
      </c>
      <c r="N86" s="20" t="s">
        <v>623</v>
      </c>
      <c r="O86" s="20">
        <f>COUNTIF(COUNTRIES[COUNTRY_LABEL],COUNTRIES[[#This Row],[COUNTRY_LABEL]])</f>
        <v>1</v>
      </c>
    </row>
    <row r="87" spans="13:15">
      <c r="M87" s="20" t="s">
        <v>897</v>
      </c>
      <c r="N87" s="20" t="s">
        <v>647</v>
      </c>
      <c r="O87" s="20">
        <f>COUNTIF(COUNTRIES[COUNTRY_LABEL],COUNTRIES[[#This Row],[COUNTRY_LABEL]])</f>
        <v>1</v>
      </c>
    </row>
    <row r="88" spans="13:15">
      <c r="M88" s="20" t="s">
        <v>898</v>
      </c>
      <c r="N88" s="20" t="s">
        <v>648</v>
      </c>
      <c r="O88" s="20">
        <f>COUNTIF(COUNTRIES[COUNTRY_LABEL],COUNTRIES[[#This Row],[COUNTRY_LABEL]])</f>
        <v>1</v>
      </c>
    </row>
    <row r="89" spans="13:15">
      <c r="M89" s="20" t="s">
        <v>904</v>
      </c>
      <c r="N89" s="20" t="s">
        <v>654</v>
      </c>
      <c r="O89" s="20">
        <f>COUNTIF(COUNTRIES[COUNTRY_LABEL],COUNTRIES[[#This Row],[COUNTRY_LABEL]])</f>
        <v>1</v>
      </c>
    </row>
    <row r="90" spans="13:15">
      <c r="M90" s="20" t="s">
        <v>899</v>
      </c>
      <c r="N90" s="20" t="s">
        <v>649</v>
      </c>
      <c r="O90" s="20">
        <f>COUNTIF(COUNTRIES[COUNTRY_LABEL],COUNTRIES[[#This Row],[COUNTRY_LABEL]])</f>
        <v>1</v>
      </c>
    </row>
    <row r="91" spans="13:15">
      <c r="M91" s="20" t="s">
        <v>893</v>
      </c>
      <c r="N91" s="20" t="s">
        <v>643</v>
      </c>
      <c r="O91" s="20">
        <f>COUNTIF(COUNTRIES[COUNTRY_LABEL],COUNTRIES[[#This Row],[COUNTRY_LABEL]])</f>
        <v>1</v>
      </c>
    </row>
    <row r="92" spans="13:15">
      <c r="M92" s="20" t="s">
        <v>902</v>
      </c>
      <c r="N92" s="20" t="s">
        <v>652</v>
      </c>
      <c r="O92" s="20">
        <f>COUNTIF(COUNTRIES[COUNTRY_LABEL],COUNTRIES[[#This Row],[COUNTRY_LABEL]])</f>
        <v>1</v>
      </c>
    </row>
    <row r="93" spans="13:15">
      <c r="M93" s="20" t="s">
        <v>907</v>
      </c>
      <c r="N93" s="20" t="s">
        <v>657</v>
      </c>
      <c r="O93" s="20">
        <f>COUNTIF(COUNTRIES[COUNTRY_LABEL],COUNTRIES[[#This Row],[COUNTRY_LABEL]])</f>
        <v>1</v>
      </c>
    </row>
    <row r="94" spans="13:15">
      <c r="M94" s="20" t="s">
        <v>896</v>
      </c>
      <c r="N94" s="20" t="s">
        <v>646</v>
      </c>
      <c r="O94" s="20">
        <f>COUNTIF(COUNTRIES[COUNTRY_LABEL],COUNTRIES[[#This Row],[COUNTRY_LABEL]])</f>
        <v>1</v>
      </c>
    </row>
    <row r="95" spans="13:15">
      <c r="M95" s="20" t="s">
        <v>901</v>
      </c>
      <c r="N95" s="20" t="s">
        <v>651</v>
      </c>
      <c r="O95" s="20">
        <f>COUNTIF(COUNTRIES[COUNTRY_LABEL],COUNTRIES[[#This Row],[COUNTRY_LABEL]])</f>
        <v>1</v>
      </c>
    </row>
    <row r="96" spans="13:15">
      <c r="M96" s="20" t="s">
        <v>908</v>
      </c>
      <c r="N96" s="20" t="s">
        <v>658</v>
      </c>
      <c r="O96" s="20">
        <f>COUNTIF(COUNTRIES[COUNTRY_LABEL],COUNTRIES[[#This Row],[COUNTRY_LABEL]])</f>
        <v>1</v>
      </c>
    </row>
    <row r="97" spans="13:15">
      <c r="M97" s="20" t="s">
        <v>909</v>
      </c>
      <c r="N97" s="20" t="s">
        <v>659</v>
      </c>
      <c r="O97" s="20">
        <f>COUNTIF(COUNTRIES[COUNTRY_LABEL],COUNTRIES[[#This Row],[COUNTRY_LABEL]])</f>
        <v>1</v>
      </c>
    </row>
    <row r="98" spans="13:15">
      <c r="M98" s="20" t="s">
        <v>914</v>
      </c>
      <c r="N98" s="20" t="s">
        <v>664</v>
      </c>
      <c r="O98" s="20">
        <f>COUNTIF(COUNTRIES[COUNTRY_LABEL],COUNTRIES[[#This Row],[COUNTRY_LABEL]])</f>
        <v>1</v>
      </c>
    </row>
    <row r="99" spans="13:15">
      <c r="M99" s="20" t="s">
        <v>911</v>
      </c>
      <c r="N99" s="20" t="s">
        <v>661</v>
      </c>
      <c r="O99" s="20">
        <f>COUNTIF(COUNTRIES[COUNTRY_LABEL],COUNTRIES[[#This Row],[COUNTRY_LABEL]])</f>
        <v>1</v>
      </c>
    </row>
    <row r="100" spans="13:15">
      <c r="M100" s="20" t="s">
        <v>1050</v>
      </c>
      <c r="N100" s="20" t="s">
        <v>799</v>
      </c>
      <c r="O100" s="20">
        <f>COUNTIF(COUNTRIES[COUNTRY_LABEL],COUNTRIES[[#This Row],[COUNTRY_LABEL]])</f>
        <v>1</v>
      </c>
    </row>
    <row r="101" spans="13:15">
      <c r="M101" s="20" t="s">
        <v>912</v>
      </c>
      <c r="N101" s="20" t="s">
        <v>662</v>
      </c>
      <c r="O101" s="20">
        <f>COUNTIF(COUNTRIES[COUNTRY_LABEL],COUNTRIES[[#This Row],[COUNTRY_LABEL]])</f>
        <v>1</v>
      </c>
    </row>
    <row r="102" spans="13:15">
      <c r="M102" s="20" t="s">
        <v>910</v>
      </c>
      <c r="N102" s="20" t="s">
        <v>660</v>
      </c>
      <c r="O102" s="20">
        <f>COUNTIF(COUNTRIES[COUNTRY_LABEL],COUNTRIES[[#This Row],[COUNTRY_LABEL]])</f>
        <v>1</v>
      </c>
    </row>
    <row r="103" spans="13:15">
      <c r="M103" s="20" t="s">
        <v>915</v>
      </c>
      <c r="N103" s="20" t="s">
        <v>665</v>
      </c>
      <c r="O103" s="20">
        <f>COUNTIF(COUNTRIES[COUNTRY_LABEL],COUNTRIES[[#This Row],[COUNTRY_LABEL]])</f>
        <v>1</v>
      </c>
    </row>
    <row r="104" spans="13:15">
      <c r="M104" s="20" t="s">
        <v>924</v>
      </c>
      <c r="N104" s="20" t="s">
        <v>674</v>
      </c>
      <c r="O104" s="20">
        <f>COUNTIF(COUNTRIES[COUNTRY_LABEL],COUNTRIES[[#This Row],[COUNTRY_LABEL]])</f>
        <v>1</v>
      </c>
    </row>
    <row r="105" spans="13:15">
      <c r="M105" s="20" t="s">
        <v>920</v>
      </c>
      <c r="N105" s="20" t="s">
        <v>670</v>
      </c>
      <c r="O105" s="20">
        <f>COUNTIF(COUNTRIES[COUNTRY_LABEL],COUNTRIES[[#This Row],[COUNTRY_LABEL]])</f>
        <v>1</v>
      </c>
    </row>
    <row r="106" spans="13:15">
      <c r="M106" s="20" t="s">
        <v>916</v>
      </c>
      <c r="N106" s="20" t="s">
        <v>666</v>
      </c>
      <c r="O106" s="20">
        <f>COUNTIF(COUNTRIES[COUNTRY_LABEL],COUNTRIES[[#This Row],[COUNTRY_LABEL]])</f>
        <v>1</v>
      </c>
    </row>
    <row r="107" spans="13:15">
      <c r="M107" s="20" t="s">
        <v>923</v>
      </c>
      <c r="N107" s="20" t="s">
        <v>673</v>
      </c>
      <c r="O107" s="20">
        <f>COUNTIF(COUNTRIES[COUNTRY_LABEL],COUNTRIES[[#This Row],[COUNTRY_LABEL]])</f>
        <v>1</v>
      </c>
    </row>
    <row r="108" spans="13:15">
      <c r="M108" s="20" t="s">
        <v>922</v>
      </c>
      <c r="N108" s="20" t="s">
        <v>672</v>
      </c>
      <c r="O108" s="20">
        <f>COUNTIF(COUNTRIES[COUNTRY_LABEL],COUNTRIES[[#This Row],[COUNTRY_LABEL]])</f>
        <v>1</v>
      </c>
    </row>
    <row r="109" spans="13:15">
      <c r="M109" s="20" t="s">
        <v>917</v>
      </c>
      <c r="N109" s="20" t="s">
        <v>667</v>
      </c>
      <c r="O109" s="20">
        <f>COUNTIF(COUNTRIES[COUNTRY_LABEL],COUNTRIES[[#This Row],[COUNTRY_LABEL]])</f>
        <v>1</v>
      </c>
    </row>
    <row r="110" spans="13:15">
      <c r="M110" s="20" t="s">
        <v>919</v>
      </c>
      <c r="N110" s="20" t="s">
        <v>669</v>
      </c>
      <c r="O110" s="20">
        <f>COUNTIF(COUNTRIES[COUNTRY_LABEL],COUNTRIES[[#This Row],[COUNTRY_LABEL]])</f>
        <v>1</v>
      </c>
    </row>
    <row r="111" spans="13:15">
      <c r="M111" s="20" t="s">
        <v>918</v>
      </c>
      <c r="N111" s="20" t="s">
        <v>668</v>
      </c>
      <c r="O111" s="20">
        <f>COUNTIF(COUNTRIES[COUNTRY_LABEL],COUNTRIES[[#This Row],[COUNTRY_LABEL]])</f>
        <v>1</v>
      </c>
    </row>
    <row r="112" spans="13:15">
      <c r="M112" s="20" t="s">
        <v>925</v>
      </c>
      <c r="N112" s="20" t="s">
        <v>675</v>
      </c>
      <c r="O112" s="20">
        <f>COUNTIF(COUNTRIES[COUNTRY_LABEL],COUNTRIES[[#This Row],[COUNTRY_LABEL]])</f>
        <v>1</v>
      </c>
    </row>
    <row r="113" spans="13:15">
      <c r="M113" s="20" t="s">
        <v>859</v>
      </c>
      <c r="N113" s="20" t="s">
        <v>610</v>
      </c>
      <c r="O113" s="20">
        <f>COUNTIF(COUNTRIES[COUNTRY_LABEL],COUNTRIES[[#This Row],[COUNTRY_LABEL]])</f>
        <v>1</v>
      </c>
    </row>
    <row r="114" spans="13:15">
      <c r="M114" s="20" t="s">
        <v>927</v>
      </c>
      <c r="N114" s="20" t="s">
        <v>677</v>
      </c>
      <c r="O114" s="20">
        <f>COUNTIF(COUNTRIES[COUNTRY_LABEL],COUNTRIES[[#This Row],[COUNTRY_LABEL]])</f>
        <v>1</v>
      </c>
    </row>
    <row r="115" spans="13:15">
      <c r="M115" s="20" t="s">
        <v>929</v>
      </c>
      <c r="N115" s="20" t="s">
        <v>679</v>
      </c>
      <c r="O115" s="20">
        <f>COUNTIF(COUNTRIES[COUNTRY_LABEL],COUNTRIES[[#This Row],[COUNTRY_LABEL]])</f>
        <v>1</v>
      </c>
    </row>
    <row r="116" spans="13:15">
      <c r="M116" s="20" t="s">
        <v>926</v>
      </c>
      <c r="N116" s="20" t="s">
        <v>676</v>
      </c>
      <c r="O116" s="20">
        <f>COUNTIF(COUNTRIES[COUNTRY_LABEL],COUNTRIES[[#This Row],[COUNTRY_LABEL]])</f>
        <v>1</v>
      </c>
    </row>
    <row r="117" spans="13:15">
      <c r="M117" s="20" t="s">
        <v>928</v>
      </c>
      <c r="N117" s="20" t="s">
        <v>678</v>
      </c>
      <c r="O117" s="20">
        <f>COUNTIF(COUNTRIES[COUNTRY_LABEL],COUNTRIES[[#This Row],[COUNTRY_LABEL]])</f>
        <v>1</v>
      </c>
    </row>
    <row r="118" spans="13:15">
      <c r="M118" s="20" t="s">
        <v>940</v>
      </c>
      <c r="N118" s="20" t="s">
        <v>690</v>
      </c>
      <c r="O118" s="20">
        <f>COUNTIF(COUNTRIES[COUNTRY_LABEL],COUNTRIES[[#This Row],[COUNTRY_LABEL]])</f>
        <v>1</v>
      </c>
    </row>
    <row r="119" spans="13:15">
      <c r="M119" s="20" t="s">
        <v>930</v>
      </c>
      <c r="N119" s="20" t="s">
        <v>680</v>
      </c>
      <c r="O119" s="20">
        <f>COUNTIF(COUNTRIES[COUNTRY_LABEL],COUNTRIES[[#This Row],[COUNTRY_LABEL]])</f>
        <v>1</v>
      </c>
    </row>
    <row r="120" spans="13:15">
      <c r="M120" s="20" t="s">
        <v>933</v>
      </c>
      <c r="N120" s="20" t="s">
        <v>683</v>
      </c>
      <c r="O120" s="20">
        <f>COUNTIF(COUNTRIES[COUNTRY_LABEL],COUNTRIES[[#This Row],[COUNTRY_LABEL]])</f>
        <v>1</v>
      </c>
    </row>
    <row r="121" spans="13:15">
      <c r="M121" s="20" t="s">
        <v>938</v>
      </c>
      <c r="N121" s="20" t="s">
        <v>688</v>
      </c>
      <c r="O121" s="20">
        <f>COUNTIF(COUNTRIES[COUNTRY_LABEL],COUNTRIES[[#This Row],[COUNTRY_LABEL]])</f>
        <v>1</v>
      </c>
    </row>
    <row r="122" spans="13:15">
      <c r="M122" s="20" t="s">
        <v>931</v>
      </c>
      <c r="N122" s="20" t="s">
        <v>681</v>
      </c>
      <c r="O122" s="20">
        <f>COUNTIF(COUNTRIES[COUNTRY_LABEL],COUNTRIES[[#This Row],[COUNTRY_LABEL]])</f>
        <v>1</v>
      </c>
    </row>
    <row r="123" spans="13:15">
      <c r="M123" s="20" t="s">
        <v>941</v>
      </c>
      <c r="N123" s="20" t="s">
        <v>691</v>
      </c>
      <c r="O123" s="20">
        <f>COUNTIF(COUNTRIES[COUNTRY_LABEL],COUNTRIES[[#This Row],[COUNTRY_LABEL]])</f>
        <v>1</v>
      </c>
    </row>
    <row r="124" spans="13:15">
      <c r="M124" s="20" t="s">
        <v>950</v>
      </c>
      <c r="N124" s="20" t="s">
        <v>700</v>
      </c>
      <c r="O124" s="20">
        <f>COUNTIF(COUNTRIES[COUNTRY_LABEL],COUNTRIES[[#This Row],[COUNTRY_LABEL]])</f>
        <v>1</v>
      </c>
    </row>
    <row r="125" spans="13:15">
      <c r="M125" s="20" t="s">
        <v>942</v>
      </c>
      <c r="N125" s="20" t="s">
        <v>692</v>
      </c>
      <c r="O125" s="20">
        <f>COUNTIF(COUNTRIES[COUNTRY_LABEL],COUNTRIES[[#This Row],[COUNTRY_LABEL]])</f>
        <v>1</v>
      </c>
    </row>
    <row r="126" spans="13:15">
      <c r="M126" s="20" t="s">
        <v>947</v>
      </c>
      <c r="N126" s="20" t="s">
        <v>697</v>
      </c>
      <c r="O126" s="20">
        <f>COUNTIF(COUNTRIES[COUNTRY_LABEL],COUNTRIES[[#This Row],[COUNTRY_LABEL]])</f>
        <v>1</v>
      </c>
    </row>
    <row r="127" spans="13:15">
      <c r="M127" s="20" t="s">
        <v>946</v>
      </c>
      <c r="N127" s="20" t="s">
        <v>696</v>
      </c>
      <c r="O127" s="20">
        <f>COUNTIF(COUNTRIES[COUNTRY_LABEL],COUNTRIES[[#This Row],[COUNTRY_LABEL]])</f>
        <v>1</v>
      </c>
    </row>
    <row r="128" spans="13:15">
      <c r="M128" s="20" t="s">
        <v>951</v>
      </c>
      <c r="N128" s="20" t="s">
        <v>701</v>
      </c>
      <c r="O128" s="20">
        <f>COUNTIF(COUNTRIES[COUNTRY_LABEL],COUNTRIES[[#This Row],[COUNTRY_LABEL]])</f>
        <v>1</v>
      </c>
    </row>
    <row r="129" spans="13:15">
      <c r="M129" s="20" t="s">
        <v>944</v>
      </c>
      <c r="N129" s="20" t="s">
        <v>694</v>
      </c>
      <c r="O129" s="20">
        <f>COUNTIF(COUNTRIES[COUNTRY_LABEL],COUNTRIES[[#This Row],[COUNTRY_LABEL]])</f>
        <v>1</v>
      </c>
    </row>
    <row r="130" spans="13:15">
      <c r="M130" s="20" t="s">
        <v>948</v>
      </c>
      <c r="N130" s="20" t="s">
        <v>698</v>
      </c>
      <c r="O130" s="20">
        <f>COUNTIF(COUNTRIES[COUNTRY_LABEL],COUNTRIES[[#This Row],[COUNTRY_LABEL]])</f>
        <v>1</v>
      </c>
    </row>
    <row r="131" spans="13:15">
      <c r="M131" s="20" t="s">
        <v>949</v>
      </c>
      <c r="N131" s="20" t="s">
        <v>699</v>
      </c>
      <c r="O131" s="20">
        <f>COUNTIF(COUNTRIES[COUNTRY_LABEL],COUNTRIES[[#This Row],[COUNTRY_LABEL]])</f>
        <v>1</v>
      </c>
    </row>
    <row r="132" spans="13:15">
      <c r="M132" s="20" t="s">
        <v>963</v>
      </c>
      <c r="N132" s="20" t="s">
        <v>713</v>
      </c>
      <c r="O132" s="20">
        <f>COUNTIF(COUNTRIES[COUNTRY_LABEL],COUNTRIES[[#This Row],[COUNTRY_LABEL]])</f>
        <v>1</v>
      </c>
    </row>
    <row r="133" spans="13:15">
      <c r="M133" s="20" t="s">
        <v>957</v>
      </c>
      <c r="N133" s="20" t="s">
        <v>707</v>
      </c>
      <c r="O133" s="20">
        <f>COUNTIF(COUNTRIES[COUNTRY_LABEL],COUNTRIES[[#This Row],[COUNTRY_LABEL]])</f>
        <v>1</v>
      </c>
    </row>
    <row r="134" spans="13:15">
      <c r="M134" s="20" t="s">
        <v>971</v>
      </c>
      <c r="N134" s="20" t="s">
        <v>721</v>
      </c>
      <c r="O134" s="20">
        <f>COUNTIF(COUNTRIES[COUNTRY_LABEL],COUNTRIES[[#This Row],[COUNTRY_LABEL]])</f>
        <v>1</v>
      </c>
    </row>
    <row r="135" spans="13:15">
      <c r="M135" s="20" t="s">
        <v>973</v>
      </c>
      <c r="N135" s="20" t="s">
        <v>723</v>
      </c>
      <c r="O135" s="20">
        <f>COUNTIF(COUNTRIES[COUNTRY_LABEL],COUNTRIES[[#This Row],[COUNTRY_LABEL]])</f>
        <v>1</v>
      </c>
    </row>
    <row r="136" spans="13:15">
      <c r="M136" s="20" t="s">
        <v>970</v>
      </c>
      <c r="N136" s="20" t="s">
        <v>720</v>
      </c>
      <c r="O136" s="20">
        <f>COUNTIF(COUNTRIES[COUNTRY_LABEL],COUNTRIES[[#This Row],[COUNTRY_LABEL]])</f>
        <v>1</v>
      </c>
    </row>
    <row r="137" spans="13:15">
      <c r="M137" s="20" t="s">
        <v>960</v>
      </c>
      <c r="N137" s="20" t="s">
        <v>710</v>
      </c>
      <c r="O137" s="20">
        <f>COUNTIF(COUNTRIES[COUNTRY_LABEL],COUNTRIES[[#This Row],[COUNTRY_LABEL]])</f>
        <v>1</v>
      </c>
    </row>
    <row r="138" spans="13:15">
      <c r="M138" s="20" t="s">
        <v>968</v>
      </c>
      <c r="N138" s="20" t="s">
        <v>718</v>
      </c>
      <c r="O138" s="20">
        <f>COUNTIF(COUNTRIES[COUNTRY_LABEL],COUNTRIES[[#This Row],[COUNTRY_LABEL]])</f>
        <v>1</v>
      </c>
    </row>
    <row r="139" spans="13:15">
      <c r="M139" s="20" t="s">
        <v>958</v>
      </c>
      <c r="N139" s="20" t="s">
        <v>708</v>
      </c>
      <c r="O139" s="20">
        <f>COUNTIF(COUNTRIES[COUNTRY_LABEL],COUNTRIES[[#This Row],[COUNTRY_LABEL]])</f>
        <v>1</v>
      </c>
    </row>
    <row r="140" spans="13:15">
      <c r="M140" s="20" t="s">
        <v>965</v>
      </c>
      <c r="N140" s="20" t="s">
        <v>715</v>
      </c>
      <c r="O140" s="20">
        <f>COUNTIF(COUNTRIES[COUNTRY_LABEL],COUNTRIES[[#This Row],[COUNTRY_LABEL]])</f>
        <v>1</v>
      </c>
    </row>
    <row r="141" spans="13:15">
      <c r="M141" s="20" t="s">
        <v>966</v>
      </c>
      <c r="N141" s="20" t="s">
        <v>716</v>
      </c>
      <c r="O141" s="20">
        <f>COUNTIF(COUNTRIES[COUNTRY_LABEL],COUNTRIES[[#This Row],[COUNTRY_LABEL]])</f>
        <v>1</v>
      </c>
    </row>
    <row r="142" spans="13:15">
      <c r="M142" s="20" t="s">
        <v>969</v>
      </c>
      <c r="N142" s="20" t="s">
        <v>719</v>
      </c>
      <c r="O142" s="20">
        <f>COUNTIF(COUNTRIES[COUNTRY_LABEL],COUNTRIES[[#This Row],[COUNTRY_LABEL]])</f>
        <v>1</v>
      </c>
    </row>
    <row r="143" spans="13:15">
      <c r="M143" s="20" t="s">
        <v>1060</v>
      </c>
      <c r="N143" s="20" t="s">
        <v>809</v>
      </c>
      <c r="O143" s="20">
        <f>COUNTIF(COUNTRIES[COUNTRY_LABEL],COUNTRIES[[#This Row],[COUNTRY_LABEL]])</f>
        <v>1</v>
      </c>
    </row>
    <row r="144" spans="13:15">
      <c r="M144" s="20" t="s">
        <v>972</v>
      </c>
      <c r="N144" s="20" t="s">
        <v>722</v>
      </c>
      <c r="O144" s="20">
        <f>COUNTIF(COUNTRIES[COUNTRY_LABEL],COUNTRIES[[#This Row],[COUNTRY_LABEL]])</f>
        <v>1</v>
      </c>
    </row>
    <row r="145" spans="13:15">
      <c r="M145" s="20" t="s">
        <v>888</v>
      </c>
      <c r="N145" s="20" t="s">
        <v>639</v>
      </c>
      <c r="O145" s="20">
        <f>COUNTIF(COUNTRIES[COUNTRY_LABEL],COUNTRIES[[#This Row],[COUNTRY_LABEL]])</f>
        <v>1</v>
      </c>
    </row>
    <row r="146" spans="13:15">
      <c r="M146" s="20" t="s">
        <v>954</v>
      </c>
      <c r="N146" s="20" t="s">
        <v>704</v>
      </c>
      <c r="O146" s="20">
        <f>COUNTIF(COUNTRIES[COUNTRY_LABEL],COUNTRIES[[#This Row],[COUNTRY_LABEL]])</f>
        <v>1</v>
      </c>
    </row>
    <row r="147" spans="13:15">
      <c r="M147" s="20" t="s">
        <v>953</v>
      </c>
      <c r="N147" s="20" t="s">
        <v>703</v>
      </c>
      <c r="O147" s="20">
        <f>COUNTIF(COUNTRIES[COUNTRY_LABEL],COUNTRIES[[#This Row],[COUNTRY_LABEL]])</f>
        <v>1</v>
      </c>
    </row>
    <row r="148" spans="13:15">
      <c r="M148" s="20" t="s">
        <v>962</v>
      </c>
      <c r="N148" s="20" t="s">
        <v>712</v>
      </c>
      <c r="O148" s="20">
        <f>COUNTIF(COUNTRIES[COUNTRY_LABEL],COUNTRIES[[#This Row],[COUNTRY_LABEL]])</f>
        <v>1</v>
      </c>
    </row>
    <row r="149" spans="13:15">
      <c r="M149" s="20" t="s">
        <v>955</v>
      </c>
      <c r="N149" s="20" t="s">
        <v>705</v>
      </c>
      <c r="O149" s="20">
        <f>COUNTIF(COUNTRIES[COUNTRY_LABEL],COUNTRIES[[#This Row],[COUNTRY_LABEL]])</f>
        <v>1</v>
      </c>
    </row>
    <row r="150" spans="13:15">
      <c r="M150" s="20" t="s">
        <v>967</v>
      </c>
      <c r="N150" s="20" t="s">
        <v>717</v>
      </c>
      <c r="O150" s="20">
        <f>COUNTIF(COUNTRIES[COUNTRY_LABEL],COUNTRIES[[#This Row],[COUNTRY_LABEL]])</f>
        <v>1</v>
      </c>
    </row>
    <row r="151" spans="13:15">
      <c r="M151" s="20" t="s">
        <v>952</v>
      </c>
      <c r="N151" s="20" t="s">
        <v>702</v>
      </c>
      <c r="O151" s="20">
        <f>COUNTIF(COUNTRIES[COUNTRY_LABEL],COUNTRIES[[#This Row],[COUNTRY_LABEL]])</f>
        <v>1</v>
      </c>
    </row>
    <row r="152" spans="13:15">
      <c r="M152" s="20" t="s">
        <v>974</v>
      </c>
      <c r="N152" s="20" t="s">
        <v>724</v>
      </c>
      <c r="O152" s="20">
        <f>COUNTIF(COUNTRIES[COUNTRY_LABEL],COUNTRIES[[#This Row],[COUNTRY_LABEL]])</f>
        <v>1</v>
      </c>
    </row>
    <row r="153" spans="13:15">
      <c r="M153" s="20" t="s">
        <v>961</v>
      </c>
      <c r="N153" s="20" t="s">
        <v>711</v>
      </c>
      <c r="O153" s="20">
        <f>COUNTIF(COUNTRIES[COUNTRY_LABEL],COUNTRIES[[#This Row],[COUNTRY_LABEL]])</f>
        <v>1</v>
      </c>
    </row>
    <row r="154" spans="13:15">
      <c r="M154" s="20" t="s">
        <v>561</v>
      </c>
      <c r="N154" s="20" t="s">
        <v>725</v>
      </c>
      <c r="O154" s="20">
        <f>COUNTIF(COUNTRIES[COUNTRY_LABEL],COUNTRIES[[#This Row],[COUNTRY_LABEL]])</f>
        <v>1</v>
      </c>
    </row>
    <row r="155" spans="13:15">
      <c r="M155" s="20" t="s">
        <v>983</v>
      </c>
      <c r="N155" s="20" t="s">
        <v>734</v>
      </c>
      <c r="O155" s="20">
        <f>COUNTIF(COUNTRIES[COUNTRY_LABEL],COUNTRIES[[#This Row],[COUNTRY_LABEL]])</f>
        <v>1</v>
      </c>
    </row>
    <row r="156" spans="13:15">
      <c r="M156" s="20" t="s">
        <v>982</v>
      </c>
      <c r="N156" s="20" t="s">
        <v>733</v>
      </c>
      <c r="O156" s="20">
        <f>COUNTIF(COUNTRIES[COUNTRY_LABEL],COUNTRIES[[#This Row],[COUNTRY_LABEL]])</f>
        <v>1</v>
      </c>
    </row>
    <row r="157" spans="13:15">
      <c r="M157" s="20" t="s">
        <v>980</v>
      </c>
      <c r="N157" s="20" t="s">
        <v>731</v>
      </c>
      <c r="O157" s="20">
        <f>COUNTIF(COUNTRIES[COUNTRY_LABEL],COUNTRIES[[#This Row],[COUNTRY_LABEL]])</f>
        <v>1</v>
      </c>
    </row>
    <row r="158" spans="13:15">
      <c r="M158" s="20" t="s">
        <v>975</v>
      </c>
      <c r="N158" s="20" t="s">
        <v>726</v>
      </c>
      <c r="O158" s="20">
        <f>COUNTIF(COUNTRIES[COUNTRY_LABEL],COUNTRIES[[#This Row],[COUNTRY_LABEL]])</f>
        <v>1</v>
      </c>
    </row>
    <row r="159" spans="13:15">
      <c r="M159" s="20" t="s">
        <v>985</v>
      </c>
      <c r="N159" s="20" t="s">
        <v>736</v>
      </c>
      <c r="O159" s="20">
        <f>COUNTIF(COUNTRIES[COUNTRY_LABEL],COUNTRIES[[#This Row],[COUNTRY_LABEL]])</f>
        <v>1</v>
      </c>
    </row>
    <row r="160" spans="13:15">
      <c r="M160" s="20" t="s">
        <v>979</v>
      </c>
      <c r="N160" s="20" t="s">
        <v>730</v>
      </c>
      <c r="O160" s="20">
        <f>COUNTIF(COUNTRIES[COUNTRY_LABEL],COUNTRIES[[#This Row],[COUNTRY_LABEL]])</f>
        <v>1</v>
      </c>
    </row>
    <row r="161" spans="13:15">
      <c r="M161" s="20" t="s">
        <v>976</v>
      </c>
      <c r="N161" s="20" t="s">
        <v>727</v>
      </c>
      <c r="O161" s="20">
        <f>COUNTIF(COUNTRIES[COUNTRY_LABEL],COUNTRIES[[#This Row],[COUNTRY_LABEL]])</f>
        <v>1</v>
      </c>
    </row>
    <row r="162" spans="13:15">
      <c r="M162" s="20" t="s">
        <v>978</v>
      </c>
      <c r="N162" s="20" t="s">
        <v>729</v>
      </c>
      <c r="O162" s="20">
        <f>COUNTIF(COUNTRIES[COUNTRY_LABEL],COUNTRIES[[#This Row],[COUNTRY_LABEL]])</f>
        <v>1</v>
      </c>
    </row>
    <row r="163" spans="13:15">
      <c r="M163" s="20" t="s">
        <v>984</v>
      </c>
      <c r="N163" s="20" t="s">
        <v>735</v>
      </c>
      <c r="O163" s="20">
        <f>COUNTIF(COUNTRIES[COUNTRY_LABEL],COUNTRIES[[#This Row],[COUNTRY_LABEL]])</f>
        <v>1</v>
      </c>
    </row>
    <row r="164" spans="13:15">
      <c r="M164" s="20" t="s">
        <v>977</v>
      </c>
      <c r="N164" s="20" t="s">
        <v>728</v>
      </c>
      <c r="O164" s="20">
        <f>COUNTIF(COUNTRIES[COUNTRY_LABEL],COUNTRIES[[#This Row],[COUNTRY_LABEL]])</f>
        <v>1</v>
      </c>
    </row>
    <row r="165" spans="13:15">
      <c r="M165" s="20" t="s">
        <v>936</v>
      </c>
      <c r="N165" s="20" t="s">
        <v>686</v>
      </c>
      <c r="O165" s="20">
        <f>COUNTIF(COUNTRIES[COUNTRY_LABEL],COUNTRIES[[#This Row],[COUNTRY_LABEL]])</f>
        <v>1</v>
      </c>
    </row>
    <row r="166" spans="13:15">
      <c r="M166" s="20" t="s">
        <v>959</v>
      </c>
      <c r="N166" s="20" t="s">
        <v>709</v>
      </c>
      <c r="O166" s="20">
        <f>COUNTIF(COUNTRIES[COUNTRY_LABEL],COUNTRIES[[#This Row],[COUNTRY_LABEL]])</f>
        <v>1</v>
      </c>
    </row>
    <row r="167" spans="13:15">
      <c r="M167" s="20" t="s">
        <v>964</v>
      </c>
      <c r="N167" s="20" t="s">
        <v>714</v>
      </c>
      <c r="O167" s="20">
        <f>COUNTIF(COUNTRIES[COUNTRY_LABEL],COUNTRIES[[#This Row],[COUNTRY_LABEL]])</f>
        <v>1</v>
      </c>
    </row>
    <row r="168" spans="13:15">
      <c r="M168" s="20" t="s">
        <v>981</v>
      </c>
      <c r="N168" s="20" t="s">
        <v>732</v>
      </c>
      <c r="O168" s="20">
        <f>COUNTIF(COUNTRIES[COUNTRY_LABEL],COUNTRIES[[#This Row],[COUNTRY_LABEL]])</f>
        <v>1</v>
      </c>
    </row>
    <row r="169" spans="13:15">
      <c r="M169" s="20" t="s">
        <v>986</v>
      </c>
      <c r="N169" s="20" t="s">
        <v>737</v>
      </c>
      <c r="O169" s="20">
        <f>COUNTIF(COUNTRIES[COUNTRY_LABEL],COUNTRIES[[#This Row],[COUNTRY_LABEL]])</f>
        <v>1</v>
      </c>
    </row>
    <row r="170" spans="13:15">
      <c r="M170" s="20" t="s">
        <v>992</v>
      </c>
      <c r="N170" s="20" t="s">
        <v>743</v>
      </c>
      <c r="O170" s="20">
        <f>COUNTIF(COUNTRIES[COUNTRY_LABEL],COUNTRIES[[#This Row],[COUNTRY_LABEL]])</f>
        <v>1</v>
      </c>
    </row>
    <row r="171" spans="13:15">
      <c r="M171" s="20" t="s">
        <v>999</v>
      </c>
      <c r="N171" s="20" t="s">
        <v>750</v>
      </c>
      <c r="O171" s="20">
        <f>COUNTIF(COUNTRIES[COUNTRY_LABEL],COUNTRIES[[#This Row],[COUNTRY_LABEL]])</f>
        <v>1</v>
      </c>
    </row>
    <row r="172" spans="13:15">
      <c r="M172" s="20" t="s">
        <v>997</v>
      </c>
      <c r="N172" s="20" t="s">
        <v>748</v>
      </c>
      <c r="O172" s="20">
        <f>COUNTIF(COUNTRIES[COUNTRY_LABEL],COUNTRIES[[#This Row],[COUNTRY_LABEL]])</f>
        <v>1</v>
      </c>
    </row>
    <row r="173" spans="13:15">
      <c r="M173" s="20" t="s">
        <v>987</v>
      </c>
      <c r="N173" s="20" t="s">
        <v>738</v>
      </c>
      <c r="O173" s="20">
        <f>COUNTIF(COUNTRIES[COUNTRY_LABEL],COUNTRIES[[#This Row],[COUNTRY_LABEL]])</f>
        <v>1</v>
      </c>
    </row>
    <row r="174" spans="13:15">
      <c r="M174" s="20" t="s">
        <v>990</v>
      </c>
      <c r="N174" s="20" t="s">
        <v>741</v>
      </c>
      <c r="O174" s="20">
        <f>COUNTIF(COUNTRIES[COUNTRY_LABEL],COUNTRIES[[#This Row],[COUNTRY_LABEL]])</f>
        <v>1</v>
      </c>
    </row>
    <row r="175" spans="13:15">
      <c r="M175" s="20" t="s">
        <v>1000</v>
      </c>
      <c r="N175" s="20" t="s">
        <v>751</v>
      </c>
      <c r="O175" s="20">
        <f>COUNTIF(COUNTRIES[COUNTRY_LABEL],COUNTRIES[[#This Row],[COUNTRY_LABEL]])</f>
        <v>1</v>
      </c>
    </row>
    <row r="176" spans="13:15">
      <c r="M176" s="20" t="s">
        <v>988</v>
      </c>
      <c r="N176" s="20" t="s">
        <v>739</v>
      </c>
      <c r="O176" s="20">
        <f>COUNTIF(COUNTRIES[COUNTRY_LABEL],COUNTRIES[[#This Row],[COUNTRY_LABEL]])</f>
        <v>1</v>
      </c>
    </row>
    <row r="177" spans="13:15">
      <c r="M177" s="20" t="s">
        <v>991</v>
      </c>
      <c r="N177" s="20" t="s">
        <v>742</v>
      </c>
      <c r="O177" s="20">
        <f>COUNTIF(COUNTRIES[COUNTRY_LABEL],COUNTRIES[[#This Row],[COUNTRY_LABEL]])</f>
        <v>1</v>
      </c>
    </row>
    <row r="178" spans="13:15">
      <c r="M178" s="20" t="s">
        <v>995</v>
      </c>
      <c r="N178" s="20" t="s">
        <v>746</v>
      </c>
      <c r="O178" s="20">
        <f>COUNTIF(COUNTRIES[COUNTRY_LABEL],COUNTRIES[[#This Row],[COUNTRY_LABEL]])</f>
        <v>1</v>
      </c>
    </row>
    <row r="179" spans="13:15">
      <c r="M179" s="20" t="s">
        <v>993</v>
      </c>
      <c r="N179" s="20" t="s">
        <v>744</v>
      </c>
      <c r="O179" s="20">
        <f>COUNTIF(COUNTRIES[COUNTRY_LABEL],COUNTRIES[[#This Row],[COUNTRY_LABEL]])</f>
        <v>1</v>
      </c>
    </row>
    <row r="180" spans="13:15">
      <c r="M180" s="20" t="s">
        <v>998</v>
      </c>
      <c r="N180" s="20" t="s">
        <v>749</v>
      </c>
      <c r="O180" s="20">
        <f>COUNTIF(COUNTRIES[COUNTRY_LABEL],COUNTRIES[[#This Row],[COUNTRY_LABEL]])</f>
        <v>1</v>
      </c>
    </row>
    <row r="181" spans="13:15">
      <c r="M181" s="20" t="s">
        <v>996</v>
      </c>
      <c r="N181" s="20" t="s">
        <v>747</v>
      </c>
      <c r="O181" s="20">
        <f>COUNTIF(COUNTRIES[COUNTRY_LABEL],COUNTRIES[[#This Row],[COUNTRY_LABEL]])</f>
        <v>1</v>
      </c>
    </row>
    <row r="182" spans="13:15">
      <c r="M182" s="20" t="s">
        <v>1001</v>
      </c>
      <c r="N182" s="20" t="s">
        <v>752</v>
      </c>
      <c r="O182" s="20">
        <f>COUNTIF(COUNTRIES[COUNTRY_LABEL],COUNTRIES[[#This Row],[COUNTRY_LABEL]])</f>
        <v>1</v>
      </c>
    </row>
    <row r="183" spans="13:15">
      <c r="M183" s="20" t="s">
        <v>857</v>
      </c>
      <c r="N183" s="20" t="s">
        <v>608</v>
      </c>
      <c r="O183" s="20">
        <f>COUNTIF(COUNTRIES[COUNTRY_LABEL],COUNTRIES[[#This Row],[COUNTRY_LABEL]])</f>
        <v>1</v>
      </c>
    </row>
    <row r="184" spans="13:15">
      <c r="M184" s="20" t="s">
        <v>1002</v>
      </c>
      <c r="N184" s="20" t="s">
        <v>3530</v>
      </c>
      <c r="O184" s="20">
        <f>COUNTIF(COUNTRIES[COUNTRY_LABEL],COUNTRIES[[#This Row],[COUNTRY_LABEL]])</f>
        <v>1</v>
      </c>
    </row>
    <row r="185" spans="13:15">
      <c r="M185" s="20" t="s">
        <v>1003</v>
      </c>
      <c r="N185" s="20" t="s">
        <v>753</v>
      </c>
      <c r="O185" s="20">
        <f>COUNTIF(COUNTRIES[COUNTRY_LABEL],COUNTRIES[[#This Row],[COUNTRY_LABEL]])</f>
        <v>1</v>
      </c>
    </row>
    <row r="186" spans="13:15">
      <c r="M186" s="20" t="s">
        <v>1005</v>
      </c>
      <c r="N186" s="20" t="s">
        <v>755</v>
      </c>
      <c r="O186" s="20">
        <f>COUNTIF(COUNTRIES[COUNTRY_LABEL],COUNTRIES[[#This Row],[COUNTRY_LABEL]])</f>
        <v>1</v>
      </c>
    </row>
    <row r="187" spans="13:15">
      <c r="M187" s="20" t="s">
        <v>1006</v>
      </c>
      <c r="N187" s="20" t="s">
        <v>756</v>
      </c>
      <c r="O187" s="20">
        <f>COUNTIF(COUNTRIES[COUNTRY_LABEL],COUNTRIES[[#This Row],[COUNTRY_LABEL]])</f>
        <v>1</v>
      </c>
    </row>
    <row r="188" spans="13:15">
      <c r="M188" s="20" t="s">
        <v>841</v>
      </c>
      <c r="N188" s="20" t="s">
        <v>3531</v>
      </c>
      <c r="O188" s="20">
        <f>COUNTIF(COUNTRIES[COUNTRY_LABEL],COUNTRIES[[#This Row],[COUNTRY_LABEL]])</f>
        <v>1</v>
      </c>
    </row>
    <row r="189" spans="13:15">
      <c r="M189" s="20" t="s">
        <v>1013</v>
      </c>
      <c r="N189" s="20" t="s">
        <v>763</v>
      </c>
      <c r="O189" s="20">
        <f>COUNTIF(COUNTRIES[COUNTRY_LABEL],COUNTRIES[[#This Row],[COUNTRY_LABEL]])</f>
        <v>1</v>
      </c>
    </row>
    <row r="190" spans="13:15">
      <c r="M190" s="20" t="s">
        <v>935</v>
      </c>
      <c r="N190" s="20" t="s">
        <v>685</v>
      </c>
      <c r="O190" s="20">
        <f>COUNTIF(COUNTRIES[COUNTRY_LABEL],COUNTRIES[[#This Row],[COUNTRY_LABEL]])</f>
        <v>1</v>
      </c>
    </row>
    <row r="191" spans="13:15">
      <c r="M191" s="20" t="s">
        <v>943</v>
      </c>
      <c r="N191" s="20" t="s">
        <v>693</v>
      </c>
      <c r="O191" s="20">
        <f>COUNTIF(COUNTRIES[COUNTRY_LABEL],COUNTRIES[[#This Row],[COUNTRY_LABEL]])</f>
        <v>1</v>
      </c>
    </row>
    <row r="192" spans="13:15">
      <c r="M192" s="20" t="s">
        <v>956</v>
      </c>
      <c r="N192" s="20" t="s">
        <v>706</v>
      </c>
      <c r="O192" s="20">
        <f>COUNTIF(COUNTRIES[COUNTRY_LABEL],COUNTRIES[[#This Row],[COUNTRY_LABEL]])</f>
        <v>1</v>
      </c>
    </row>
    <row r="193" spans="13:15">
      <c r="M193" s="20" t="s">
        <v>994</v>
      </c>
      <c r="N193" s="20" t="s">
        <v>745</v>
      </c>
      <c r="O193" s="20">
        <f>COUNTIF(COUNTRIES[COUNTRY_LABEL],COUNTRIES[[#This Row],[COUNTRY_LABEL]])</f>
        <v>1</v>
      </c>
    </row>
    <row r="194" spans="13:15">
      <c r="M194" s="20" t="s">
        <v>1051</v>
      </c>
      <c r="N194" s="20" t="s">
        <v>800</v>
      </c>
      <c r="O194" s="20">
        <f>COUNTIF(COUNTRIES[COUNTRY_LABEL],COUNTRIES[[#This Row],[COUNTRY_LABEL]])</f>
        <v>1</v>
      </c>
    </row>
    <row r="195" spans="13:15">
      <c r="M195" s="20" t="s">
        <v>1058</v>
      </c>
      <c r="N195" s="20" t="s">
        <v>807</v>
      </c>
      <c r="O195" s="20">
        <f>COUNTIF(COUNTRIES[COUNTRY_LABEL],COUNTRIES[[#This Row],[COUNTRY_LABEL]])</f>
        <v>1</v>
      </c>
    </row>
    <row r="196" spans="13:15">
      <c r="M196" s="20" t="s">
        <v>1018</v>
      </c>
      <c r="N196" s="20" t="s">
        <v>768</v>
      </c>
      <c r="O196" s="20">
        <f>COUNTIF(COUNTRIES[COUNTRY_LABEL],COUNTRIES[[#This Row],[COUNTRY_LABEL]])</f>
        <v>1</v>
      </c>
    </row>
    <row r="197" spans="13:15">
      <c r="M197" s="20" t="s">
        <v>1023</v>
      </c>
      <c r="N197" s="20" t="s">
        <v>773</v>
      </c>
      <c r="O197" s="20">
        <f>COUNTIF(COUNTRIES[COUNTRY_LABEL],COUNTRIES[[#This Row],[COUNTRY_LABEL]])</f>
        <v>1</v>
      </c>
    </row>
    <row r="198" spans="13:15">
      <c r="M198" s="20" t="s">
        <v>1007</v>
      </c>
      <c r="N198" s="20" t="s">
        <v>757</v>
      </c>
      <c r="O198" s="20">
        <f>COUNTIF(COUNTRIES[COUNTRY_LABEL],COUNTRIES[[#This Row],[COUNTRY_LABEL]])</f>
        <v>1</v>
      </c>
    </row>
    <row r="199" spans="13:15">
      <c r="M199" s="20" t="s">
        <v>1019</v>
      </c>
      <c r="N199" s="20" t="s">
        <v>769</v>
      </c>
      <c r="O199" s="20">
        <f>COUNTIF(COUNTRIES[COUNTRY_LABEL],COUNTRIES[[#This Row],[COUNTRY_LABEL]])</f>
        <v>1</v>
      </c>
    </row>
    <row r="200" spans="13:15">
      <c r="M200" s="20" t="s">
        <v>1004</v>
      </c>
      <c r="N200" s="20" t="s">
        <v>754</v>
      </c>
      <c r="O200" s="20">
        <f>COUNTIF(COUNTRIES[COUNTRY_LABEL],COUNTRIES[[#This Row],[COUNTRY_LABEL]])</f>
        <v>1</v>
      </c>
    </row>
    <row r="201" spans="13:15">
      <c r="M201" s="20" t="s">
        <v>1009</v>
      </c>
      <c r="N201" s="20" t="s">
        <v>759</v>
      </c>
      <c r="O201" s="20">
        <f>COUNTIF(COUNTRIES[COUNTRY_LABEL],COUNTRIES[[#This Row],[COUNTRY_LABEL]])</f>
        <v>1</v>
      </c>
    </row>
    <row r="202" spans="13:15">
      <c r="M202" s="20" t="s">
        <v>1017</v>
      </c>
      <c r="N202" s="20" t="s">
        <v>767</v>
      </c>
      <c r="O202" s="20">
        <f>COUNTIF(COUNTRIES[COUNTRY_LABEL],COUNTRIES[[#This Row],[COUNTRY_LABEL]])</f>
        <v>1</v>
      </c>
    </row>
    <row r="203" spans="13:15">
      <c r="M203" s="20" t="s">
        <v>1012</v>
      </c>
      <c r="N203" s="20" t="s">
        <v>762</v>
      </c>
      <c r="O203" s="20">
        <f>COUNTIF(COUNTRIES[COUNTRY_LABEL],COUNTRIES[[#This Row],[COUNTRY_LABEL]])</f>
        <v>1</v>
      </c>
    </row>
    <row r="204" spans="13:15">
      <c r="M204" s="20" t="s">
        <v>1025</v>
      </c>
      <c r="N204" s="20" t="s">
        <v>775</v>
      </c>
      <c r="O204" s="20">
        <f>COUNTIF(COUNTRIES[COUNTRY_LABEL],COUNTRIES[[#This Row],[COUNTRY_LABEL]])</f>
        <v>1</v>
      </c>
    </row>
    <row r="205" spans="13:15">
      <c r="M205" s="20" t="s">
        <v>1016</v>
      </c>
      <c r="N205" s="20" t="s">
        <v>766</v>
      </c>
      <c r="O205" s="20">
        <f>COUNTIF(COUNTRIES[COUNTRY_LABEL],COUNTRIES[[#This Row],[COUNTRY_LABEL]])</f>
        <v>1</v>
      </c>
    </row>
    <row r="206" spans="13:15">
      <c r="M206" s="20" t="s">
        <v>1014</v>
      </c>
      <c r="N206" s="20" t="s">
        <v>764</v>
      </c>
      <c r="O206" s="20">
        <f>COUNTIF(COUNTRIES[COUNTRY_LABEL],COUNTRIES[[#This Row],[COUNTRY_LABEL]])</f>
        <v>1</v>
      </c>
    </row>
    <row r="207" spans="13:15">
      <c r="M207" s="20" t="s">
        <v>1008</v>
      </c>
      <c r="N207" s="20" t="s">
        <v>758</v>
      </c>
      <c r="O207" s="20">
        <f>COUNTIF(COUNTRIES[COUNTRY_LABEL],COUNTRIES[[#This Row],[COUNTRY_LABEL]])</f>
        <v>1</v>
      </c>
    </row>
    <row r="208" spans="13:15">
      <c r="M208" s="20" t="s">
        <v>1020</v>
      </c>
      <c r="N208" s="20" t="s">
        <v>770</v>
      </c>
      <c r="O208" s="20">
        <f>COUNTIF(COUNTRIES[COUNTRY_LABEL],COUNTRIES[[#This Row],[COUNTRY_LABEL]])</f>
        <v>1</v>
      </c>
    </row>
    <row r="209" spans="13:15">
      <c r="M209" s="20" t="s">
        <v>1061</v>
      </c>
      <c r="N209" s="20" t="s">
        <v>810</v>
      </c>
      <c r="O209" s="20">
        <f>COUNTIF(COUNTRIES[COUNTRY_LABEL],COUNTRIES[[#This Row],[COUNTRY_LABEL]])</f>
        <v>1</v>
      </c>
    </row>
    <row r="210" spans="13:15">
      <c r="M210" s="20" t="s">
        <v>905</v>
      </c>
      <c r="N210" s="20" t="s">
        <v>655</v>
      </c>
      <c r="O210" s="20">
        <f>COUNTIF(COUNTRIES[COUNTRY_LABEL],COUNTRIES[[#This Row],[COUNTRY_LABEL]])</f>
        <v>1</v>
      </c>
    </row>
    <row r="211" spans="13:15">
      <c r="M211" s="20" t="s">
        <v>937</v>
      </c>
      <c r="N211" s="20" t="s">
        <v>687</v>
      </c>
      <c r="O211" s="20">
        <f>COUNTIF(COUNTRIES[COUNTRY_LABEL],COUNTRIES[[#This Row],[COUNTRY_LABEL]])</f>
        <v>1</v>
      </c>
    </row>
    <row r="212" spans="13:15">
      <c r="M212" s="20" t="s">
        <v>1022</v>
      </c>
      <c r="N212" s="20" t="s">
        <v>772</v>
      </c>
      <c r="O212" s="20">
        <f>COUNTIF(COUNTRIES[COUNTRY_LABEL],COUNTRIES[[#This Row],[COUNTRY_LABEL]])</f>
        <v>1</v>
      </c>
    </row>
    <row r="213" spans="13:15">
      <c r="M213" s="20" t="s">
        <v>883</v>
      </c>
      <c r="N213" s="20" t="s">
        <v>634</v>
      </c>
      <c r="O213" s="20">
        <f>COUNTIF(COUNTRIES[COUNTRY_LABEL],COUNTRIES[[#This Row],[COUNTRY_LABEL]])</f>
        <v>1</v>
      </c>
    </row>
    <row r="214" spans="13:15">
      <c r="M214" s="20" t="s">
        <v>945</v>
      </c>
      <c r="N214" s="20" t="s">
        <v>695</v>
      </c>
      <c r="O214" s="20">
        <f>COUNTIF(COUNTRIES[COUNTRY_LABEL],COUNTRIES[[#This Row],[COUNTRY_LABEL]])</f>
        <v>1</v>
      </c>
    </row>
    <row r="215" spans="13:15">
      <c r="M215" s="20" t="s">
        <v>1010</v>
      </c>
      <c r="N215" s="20" t="s">
        <v>760</v>
      </c>
      <c r="O215" s="20">
        <f>COUNTIF(COUNTRIES[COUNTRY_LABEL],COUNTRIES[[#This Row],[COUNTRY_LABEL]])</f>
        <v>1</v>
      </c>
    </row>
    <row r="216" spans="13:15">
      <c r="M216" s="20" t="s">
        <v>1021</v>
      </c>
      <c r="N216" s="20" t="s">
        <v>771</v>
      </c>
      <c r="O216" s="20">
        <f>COUNTIF(COUNTRIES[COUNTRY_LABEL],COUNTRIES[[#This Row],[COUNTRY_LABEL]])</f>
        <v>1</v>
      </c>
    </row>
    <row r="217" spans="13:15">
      <c r="M217" s="20" t="s">
        <v>1015</v>
      </c>
      <c r="N217" s="20" t="s">
        <v>765</v>
      </c>
      <c r="O217" s="20">
        <f>COUNTIF(COUNTRIES[COUNTRY_LABEL],COUNTRIES[[#This Row],[COUNTRY_LABEL]])</f>
        <v>1</v>
      </c>
    </row>
    <row r="218" spans="13:15">
      <c r="M218" s="20" t="s">
        <v>1011</v>
      </c>
      <c r="N218" s="20" t="s">
        <v>761</v>
      </c>
      <c r="O218" s="20">
        <f>COUNTIF(COUNTRIES[COUNTRY_LABEL],COUNTRIES[[#This Row],[COUNTRY_LABEL]])</f>
        <v>1</v>
      </c>
    </row>
    <row r="219" spans="13:15">
      <c r="M219" s="20" t="s">
        <v>858</v>
      </c>
      <c r="N219" s="20" t="s">
        <v>609</v>
      </c>
      <c r="O219" s="20">
        <f>COUNTIF(COUNTRIES[COUNTRY_LABEL],COUNTRIES[[#This Row],[COUNTRY_LABEL]])</f>
        <v>1</v>
      </c>
    </row>
    <row r="220" spans="13:15">
      <c r="M220" s="20" t="s">
        <v>1026</v>
      </c>
      <c r="N220" s="20" t="s">
        <v>776</v>
      </c>
      <c r="O220" s="20">
        <f>COUNTIF(COUNTRIES[COUNTRY_LABEL],COUNTRIES[[#This Row],[COUNTRY_LABEL]])</f>
        <v>1</v>
      </c>
    </row>
    <row r="221" spans="13:15">
      <c r="M221" s="20" t="s">
        <v>1042</v>
      </c>
      <c r="N221" s="20" t="s">
        <v>791</v>
      </c>
      <c r="O221" s="20">
        <f>COUNTIF(COUNTRIES[COUNTRY_LABEL],COUNTRIES[[#This Row],[COUNTRY_LABEL]])</f>
        <v>1</v>
      </c>
    </row>
    <row r="222" spans="13:15">
      <c r="M222" s="20" t="s">
        <v>1033</v>
      </c>
      <c r="N222" s="20" t="s">
        <v>783</v>
      </c>
      <c r="O222" s="20">
        <f>COUNTIF(COUNTRIES[COUNTRY_LABEL],COUNTRIES[[#This Row],[COUNTRY_LABEL]])</f>
        <v>1</v>
      </c>
    </row>
    <row r="223" spans="13:15">
      <c r="M223" s="20" t="s">
        <v>1043</v>
      </c>
      <c r="N223" s="20" t="s">
        <v>792</v>
      </c>
      <c r="O223" s="20">
        <f>COUNTIF(COUNTRIES[COUNTRY_LABEL],COUNTRIES[[#This Row],[COUNTRY_LABEL]])</f>
        <v>1</v>
      </c>
    </row>
    <row r="224" spans="13:15">
      <c r="M224" s="20" t="s">
        <v>1032</v>
      </c>
      <c r="N224" s="20" t="s">
        <v>782</v>
      </c>
      <c r="O224" s="20">
        <f>COUNTIF(COUNTRIES[COUNTRY_LABEL],COUNTRIES[[#This Row],[COUNTRY_LABEL]])</f>
        <v>1</v>
      </c>
    </row>
    <row r="225" spans="13:15">
      <c r="M225" s="20" t="s">
        <v>1035</v>
      </c>
      <c r="N225" s="20" t="s">
        <v>785</v>
      </c>
      <c r="O225" s="20">
        <f>COUNTIF(COUNTRIES[COUNTRY_LABEL],COUNTRIES[[#This Row],[COUNTRY_LABEL]])</f>
        <v>1</v>
      </c>
    </row>
    <row r="226" spans="13:15">
      <c r="M226" s="20" t="s">
        <v>1031</v>
      </c>
      <c r="N226" s="20" t="s">
        <v>781</v>
      </c>
      <c r="O226" s="20">
        <f>COUNTIF(COUNTRIES[COUNTRY_LABEL],COUNTRIES[[#This Row],[COUNTRY_LABEL]])</f>
        <v>1</v>
      </c>
    </row>
    <row r="227" spans="13:15">
      <c r="M227" s="20" t="s">
        <v>1034</v>
      </c>
      <c r="N227" s="20" t="s">
        <v>784</v>
      </c>
      <c r="O227" s="20">
        <f>COUNTIF(COUNTRIES[COUNTRY_LABEL],COUNTRIES[[#This Row],[COUNTRY_LABEL]])</f>
        <v>1</v>
      </c>
    </row>
    <row r="228" spans="13:15">
      <c r="M228" s="20" t="s">
        <v>1038</v>
      </c>
      <c r="N228" s="20" t="s">
        <v>788</v>
      </c>
      <c r="O228" s="20">
        <f>COUNTIF(COUNTRIES[COUNTRY_LABEL],COUNTRIES[[#This Row],[COUNTRY_LABEL]])</f>
        <v>1</v>
      </c>
    </row>
    <row r="229" spans="13:15">
      <c r="M229" s="20" t="s">
        <v>1040</v>
      </c>
      <c r="N229" s="20" t="s">
        <v>789</v>
      </c>
      <c r="O229" s="20">
        <f>COUNTIF(COUNTRIES[COUNTRY_LABEL],COUNTRIES[[#This Row],[COUNTRY_LABEL]])</f>
        <v>1</v>
      </c>
    </row>
    <row r="230" spans="13:15">
      <c r="M230" s="20" t="s">
        <v>1037</v>
      </c>
      <c r="N230" s="20" t="s">
        <v>787</v>
      </c>
      <c r="O230" s="20">
        <f>COUNTIF(COUNTRIES[COUNTRY_LABEL],COUNTRIES[[#This Row],[COUNTRY_LABEL]])</f>
        <v>1</v>
      </c>
    </row>
    <row r="231" spans="13:15">
      <c r="M231" s="20" t="s">
        <v>1039</v>
      </c>
      <c r="N231" s="20" t="s">
        <v>1066</v>
      </c>
      <c r="O231" s="20">
        <f>COUNTIF(COUNTRIES[COUNTRY_LABEL],COUNTRIES[[#This Row],[COUNTRY_LABEL]])</f>
        <v>1</v>
      </c>
    </row>
    <row r="232" spans="13:15">
      <c r="M232" s="20" t="s">
        <v>1036</v>
      </c>
      <c r="N232" s="20" t="s">
        <v>786</v>
      </c>
      <c r="O232" s="20">
        <f>COUNTIF(COUNTRIES[COUNTRY_LABEL],COUNTRIES[[#This Row],[COUNTRY_LABEL]])</f>
        <v>1</v>
      </c>
    </row>
    <row r="233" spans="13:15">
      <c r="M233" s="20" t="s">
        <v>1028</v>
      </c>
      <c r="N233" s="20" t="s">
        <v>778</v>
      </c>
      <c r="O233" s="20">
        <f>COUNTIF(COUNTRIES[COUNTRY_LABEL],COUNTRIES[[#This Row],[COUNTRY_LABEL]])</f>
        <v>1</v>
      </c>
    </row>
    <row r="234" spans="13:15">
      <c r="M234" s="20" t="s">
        <v>1041</v>
      </c>
      <c r="N234" s="20" t="s">
        <v>790</v>
      </c>
      <c r="O234" s="20">
        <f>COUNTIF(COUNTRIES[COUNTRY_LABEL],COUNTRIES[[#This Row],[COUNTRY_LABEL]])</f>
        <v>1</v>
      </c>
    </row>
    <row r="235" spans="13:15">
      <c r="M235" s="20" t="s">
        <v>1045</v>
      </c>
      <c r="N235" s="20" t="s">
        <v>794</v>
      </c>
      <c r="O235" s="20">
        <f>COUNTIF(COUNTRIES[COUNTRY_LABEL],COUNTRIES[[#This Row],[COUNTRY_LABEL]])</f>
        <v>1</v>
      </c>
    </row>
    <row r="236" spans="13:15">
      <c r="M236" s="20" t="s">
        <v>1044</v>
      </c>
      <c r="N236" s="20" t="s">
        <v>793</v>
      </c>
      <c r="O236" s="20">
        <f>COUNTIF(COUNTRIES[COUNTRY_LABEL],COUNTRIES[[#This Row],[COUNTRY_LABEL]])</f>
        <v>1</v>
      </c>
    </row>
    <row r="237" spans="13:15">
      <c r="M237" s="20" t="s">
        <v>817</v>
      </c>
      <c r="N237" s="20" t="s">
        <v>569</v>
      </c>
      <c r="O237" s="20">
        <f>COUNTIF(COUNTRIES[COUNTRY_LABEL],COUNTRIES[[#This Row],[COUNTRY_LABEL]])</f>
        <v>1</v>
      </c>
    </row>
    <row r="238" spans="13:15">
      <c r="M238" s="20" t="s">
        <v>892</v>
      </c>
      <c r="N238" s="20" t="s">
        <v>642</v>
      </c>
      <c r="O238" s="20">
        <f>COUNTIF(COUNTRIES[COUNTRY_LABEL],COUNTRIES[[#This Row],[COUNTRY_LABEL]])</f>
        <v>1</v>
      </c>
    </row>
    <row r="239" spans="13:15">
      <c r="M239" s="20" t="s">
        <v>1047</v>
      </c>
      <c r="N239" s="20" t="s">
        <v>796</v>
      </c>
      <c r="O239" s="20">
        <f>COUNTIF(COUNTRIES[COUNTRY_LABEL],COUNTRIES[[#This Row],[COUNTRY_LABEL]])</f>
        <v>1</v>
      </c>
    </row>
    <row r="240" spans="13:15">
      <c r="M240" s="20" t="s">
        <v>1046</v>
      </c>
      <c r="N240" s="20" t="s">
        <v>795</v>
      </c>
      <c r="O240" s="20">
        <f>COUNTIF(COUNTRIES[COUNTRY_LABEL],COUNTRIES[[#This Row],[COUNTRY_LABEL]])</f>
        <v>1</v>
      </c>
    </row>
    <row r="241" spans="13:15">
      <c r="M241" s="20" t="s">
        <v>1048</v>
      </c>
      <c r="N241" s="20" t="s">
        <v>797</v>
      </c>
      <c r="O241" s="20">
        <f>COUNTIF(COUNTRIES[COUNTRY_LABEL],COUNTRIES[[#This Row],[COUNTRY_LABEL]])</f>
        <v>1</v>
      </c>
    </row>
    <row r="242" spans="13:15">
      <c r="M242" s="20" t="s">
        <v>1071</v>
      </c>
      <c r="N242" s="20" t="s">
        <v>2013</v>
      </c>
      <c r="O242" s="20">
        <f>COUNTIF(COUNTRIES[COUNTRY_LABEL],COUNTRIES[[#This Row],[COUNTRY_LABEL]])</f>
        <v>1</v>
      </c>
    </row>
    <row r="243" spans="13:15">
      <c r="M243" s="20" t="s">
        <v>1049</v>
      </c>
      <c r="N243" s="20" t="s">
        <v>798</v>
      </c>
      <c r="O243" s="20">
        <f>COUNTIF(COUNTRIES[COUNTRY_LABEL],COUNTRIES[[#This Row],[COUNTRY_LABEL]])</f>
        <v>1</v>
      </c>
    </row>
    <row r="244" spans="13:15">
      <c r="M244" s="20" t="s">
        <v>1056</v>
      </c>
      <c r="N244" s="20" t="s">
        <v>805</v>
      </c>
      <c r="O244" s="20">
        <f>COUNTIF(COUNTRIES[COUNTRY_LABEL],COUNTRIES[[#This Row],[COUNTRY_LABEL]])</f>
        <v>1</v>
      </c>
    </row>
    <row r="245" spans="13:15">
      <c r="M245" s="20" t="s">
        <v>1052</v>
      </c>
      <c r="N245" s="20" t="s">
        <v>801</v>
      </c>
      <c r="O245" s="20">
        <f>COUNTIF(COUNTRIES[COUNTRY_LABEL],COUNTRIES[[#This Row],[COUNTRY_LABEL]])</f>
        <v>1</v>
      </c>
    </row>
    <row r="246" spans="13:15">
      <c r="M246" s="20" t="s">
        <v>1055</v>
      </c>
      <c r="N246" s="20" t="s">
        <v>804</v>
      </c>
      <c r="O246" s="20">
        <f>COUNTIF(COUNTRIES[COUNTRY_LABEL],COUNTRIES[[#This Row],[COUNTRY_LABEL]])</f>
        <v>1</v>
      </c>
    </row>
    <row r="247" spans="13:15">
      <c r="M247" s="20" t="s">
        <v>1053</v>
      </c>
      <c r="N247" s="20" t="s">
        <v>802</v>
      </c>
      <c r="O247" s="20">
        <f>COUNTIF(COUNTRIES[COUNTRY_LABEL],COUNTRIES[[#This Row],[COUNTRY_LABEL]])</f>
        <v>1</v>
      </c>
    </row>
    <row r="248" spans="13:15">
      <c r="M248" s="20" t="s">
        <v>1054</v>
      </c>
      <c r="N248" s="20" t="s">
        <v>803</v>
      </c>
      <c r="O248" s="20">
        <f>COUNTIF(COUNTRIES[COUNTRY_LABEL],COUNTRIES[[#This Row],[COUNTRY_LABEL]])</f>
        <v>1</v>
      </c>
    </row>
    <row r="249" spans="13:15">
      <c r="M249" s="20" t="s">
        <v>1057</v>
      </c>
      <c r="N249" s="20" t="s">
        <v>806</v>
      </c>
      <c r="O249" s="20">
        <f>COUNTIF(COUNTRIES[COUNTRY_LABEL],COUNTRIES[[#This Row],[COUNTRY_LABEL]])</f>
        <v>1</v>
      </c>
    </row>
    <row r="250" spans="13:15">
      <c r="M250" s="20" t="s">
        <v>881</v>
      </c>
      <c r="N250" s="20" t="s">
        <v>632</v>
      </c>
      <c r="O250" s="20">
        <f>COUNTIF(COUNTRIES[COUNTRY_LABEL],COUNTRIES[[#This Row],[COUNTRY_LABEL]])</f>
        <v>1</v>
      </c>
    </row>
    <row r="251" spans="13:15">
      <c r="M251" s="20" t="s">
        <v>1059</v>
      </c>
      <c r="N251" s="20" t="s">
        <v>808</v>
      </c>
      <c r="O251" s="20">
        <f>COUNTIF(COUNTRIES[COUNTRY_LABEL],COUNTRIES[[#This Row],[COUNTRY_LABEL]])</f>
        <v>1</v>
      </c>
    </row>
    <row r="252" spans="13:15">
      <c r="M252" s="20" t="s">
        <v>1070</v>
      </c>
      <c r="N252" s="20" t="s">
        <v>815</v>
      </c>
      <c r="O252" s="20">
        <f>COUNTIF(COUNTRIES[COUNTRY_LABEL],COUNTRIES[[#This Row],[COUNTRY_LABEL]])</f>
        <v>1</v>
      </c>
    </row>
    <row r="253" spans="13:15">
      <c r="M253" s="20" t="s">
        <v>1062</v>
      </c>
      <c r="N253" s="20" t="s">
        <v>811</v>
      </c>
      <c r="O253" s="20">
        <f>COUNTIF(COUNTRIES[COUNTRY_LABEL],COUNTRIES[[#This Row],[COUNTRY_LABEL]])</f>
        <v>1</v>
      </c>
    </row>
    <row r="254" spans="13:15">
      <c r="M254" s="20" t="s">
        <v>1063</v>
      </c>
      <c r="N254" s="20" t="s">
        <v>812</v>
      </c>
      <c r="O254" s="20">
        <f>COUNTIF(COUNTRIES[COUNTRY_LABEL],COUNTRIES[[#This Row],[COUNTRY_LABEL]])</f>
        <v>1</v>
      </c>
    </row>
    <row r="255" spans="13:15">
      <c r="M255" s="20" t="s">
        <v>1074</v>
      </c>
      <c r="N255" s="20" t="s">
        <v>1067</v>
      </c>
      <c r="O255" s="20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" sqref="A2:A24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7" bestFit="1" customWidth="1"/>
    <col min="4" max="4" width="11.7265625" style="7" bestFit="1" customWidth="1"/>
    <col min="5" max="5" width="23.08984375" bestFit="1" customWidth="1"/>
  </cols>
  <sheetData>
    <row r="1" spans="1:5">
      <c r="A1" t="s">
        <v>259</v>
      </c>
      <c r="B1" t="s">
        <v>260</v>
      </c>
      <c r="C1" s="7" t="s">
        <v>261</v>
      </c>
      <c r="D1" s="7" t="s">
        <v>262</v>
      </c>
      <c r="E1" s="7" t="s">
        <v>1854</v>
      </c>
    </row>
    <row r="2" spans="1:5">
      <c r="A2" t="s">
        <v>263</v>
      </c>
      <c r="B2" t="s">
        <v>264</v>
      </c>
      <c r="C2" s="7">
        <v>1000</v>
      </c>
      <c r="D2" s="7">
        <v>1499</v>
      </c>
      <c r="E2" t="s">
        <v>349</v>
      </c>
    </row>
    <row r="3" spans="1:5">
      <c r="A3" t="s">
        <v>265</v>
      </c>
      <c r="B3" t="s">
        <v>3632</v>
      </c>
      <c r="C3" s="7">
        <v>2000</v>
      </c>
      <c r="D3" s="7">
        <v>2499</v>
      </c>
      <c r="E3" t="s">
        <v>350</v>
      </c>
    </row>
    <row r="4" spans="1:5">
      <c r="A4" t="s">
        <v>1876</v>
      </c>
      <c r="B4" t="s">
        <v>267</v>
      </c>
      <c r="C4" s="7">
        <v>3000</v>
      </c>
      <c r="D4" s="7">
        <v>3499</v>
      </c>
      <c r="E4" t="s">
        <v>351</v>
      </c>
    </row>
    <row r="5" spans="1:5">
      <c r="A5" t="s">
        <v>268</v>
      </c>
      <c r="B5" t="s">
        <v>269</v>
      </c>
      <c r="C5" s="7">
        <v>4000</v>
      </c>
      <c r="D5" s="7">
        <v>4999</v>
      </c>
      <c r="E5" t="s">
        <v>373</v>
      </c>
    </row>
    <row r="6" spans="1:5">
      <c r="A6" t="s">
        <v>270</v>
      </c>
      <c r="B6" t="s">
        <v>271</v>
      </c>
      <c r="C6" s="7">
        <v>5000</v>
      </c>
      <c r="D6" s="7">
        <v>5999</v>
      </c>
      <c r="E6" t="s">
        <v>374</v>
      </c>
    </row>
    <row r="7" spans="1:5">
      <c r="A7" t="s">
        <v>272</v>
      </c>
      <c r="B7" t="s">
        <v>273</v>
      </c>
      <c r="C7" s="7">
        <v>6000</v>
      </c>
      <c r="D7" s="7">
        <v>6999</v>
      </c>
      <c r="E7" t="s">
        <v>375</v>
      </c>
    </row>
    <row r="8" spans="1:5">
      <c r="A8" t="s">
        <v>274</v>
      </c>
      <c r="B8" t="s">
        <v>275</v>
      </c>
      <c r="C8" s="7">
        <v>7000</v>
      </c>
      <c r="D8" s="7">
        <v>7999</v>
      </c>
      <c r="E8" t="s">
        <v>275</v>
      </c>
    </row>
    <row r="9" spans="1:5">
      <c r="A9" t="s">
        <v>276</v>
      </c>
      <c r="B9" t="s">
        <v>277</v>
      </c>
      <c r="C9" s="7">
        <v>8000</v>
      </c>
      <c r="D9" s="7">
        <v>8999</v>
      </c>
      <c r="E9" t="s">
        <v>277</v>
      </c>
    </row>
    <row r="10" spans="1:5">
      <c r="A10" t="s">
        <v>278</v>
      </c>
      <c r="B10" t="s">
        <v>279</v>
      </c>
      <c r="C10" s="7">
        <v>9000</v>
      </c>
      <c r="D10" s="7">
        <v>9999</v>
      </c>
      <c r="E10" t="s">
        <v>25</v>
      </c>
    </row>
    <row r="11" spans="1:5">
      <c r="A11" t="s">
        <v>1891</v>
      </c>
      <c r="B11" t="s">
        <v>280</v>
      </c>
      <c r="C11" s="7">
        <v>10000</v>
      </c>
      <c r="D11" s="7">
        <v>10499</v>
      </c>
      <c r="E11" t="s">
        <v>1890</v>
      </c>
    </row>
    <row r="12" spans="1:5">
      <c r="A12" t="s">
        <v>281</v>
      </c>
      <c r="B12" t="s">
        <v>282</v>
      </c>
      <c r="C12" s="7">
        <v>11000</v>
      </c>
      <c r="D12" s="7">
        <v>11999</v>
      </c>
      <c r="E12" t="s">
        <v>346</v>
      </c>
    </row>
    <row r="13" spans="1:5">
      <c r="A13" t="s">
        <v>283</v>
      </c>
      <c r="B13" t="s">
        <v>284</v>
      </c>
      <c r="C13" s="7">
        <v>12000</v>
      </c>
      <c r="D13" s="7">
        <v>12999</v>
      </c>
      <c r="E13" t="s">
        <v>347</v>
      </c>
    </row>
    <row r="14" spans="1:5">
      <c r="A14" t="s">
        <v>294</v>
      </c>
      <c r="B14" t="s">
        <v>298</v>
      </c>
      <c r="C14" s="7">
        <v>13000</v>
      </c>
      <c r="D14" s="7">
        <v>13001</v>
      </c>
      <c r="E14" t="s">
        <v>275</v>
      </c>
    </row>
    <row r="15" spans="1:5">
      <c r="A15" t="s">
        <v>295</v>
      </c>
      <c r="B15" t="s">
        <v>299</v>
      </c>
      <c r="C15" s="7">
        <v>13002</v>
      </c>
      <c r="D15" s="7">
        <v>13003</v>
      </c>
      <c r="E15" t="s">
        <v>25</v>
      </c>
    </row>
    <row r="16" spans="1:5">
      <c r="A16" t="s">
        <v>296</v>
      </c>
      <c r="B16" t="s">
        <v>300</v>
      </c>
      <c r="C16" s="7">
        <v>13004</v>
      </c>
      <c r="D16" s="7">
        <v>13005</v>
      </c>
      <c r="E16" t="s">
        <v>1890</v>
      </c>
    </row>
    <row r="17" spans="1:5">
      <c r="A17" t="s">
        <v>297</v>
      </c>
      <c r="B17" t="s">
        <v>301</v>
      </c>
      <c r="C17" s="7">
        <v>13006</v>
      </c>
      <c r="D17" s="7">
        <v>13007</v>
      </c>
      <c r="E17" t="s">
        <v>275</v>
      </c>
    </row>
    <row r="18" spans="1:5">
      <c r="A18" t="s">
        <v>288</v>
      </c>
      <c r="B18" t="s">
        <v>287</v>
      </c>
      <c r="C18" s="7">
        <v>14000</v>
      </c>
      <c r="D18" s="7">
        <v>14499</v>
      </c>
      <c r="E18" t="s">
        <v>352</v>
      </c>
    </row>
    <row r="19" spans="1:5">
      <c r="A19" t="s">
        <v>1759</v>
      </c>
      <c r="B19" t="s">
        <v>1760</v>
      </c>
      <c r="C19" s="7">
        <v>15000</v>
      </c>
      <c r="D19" s="7">
        <v>15499</v>
      </c>
      <c r="E19" t="s">
        <v>1758</v>
      </c>
    </row>
    <row r="20" spans="1:5">
      <c r="A20" t="s">
        <v>290</v>
      </c>
      <c r="B20" t="s">
        <v>291</v>
      </c>
      <c r="C20" s="7">
        <v>15500</v>
      </c>
      <c r="D20" s="7">
        <v>15999</v>
      </c>
      <c r="E20" t="s">
        <v>275</v>
      </c>
    </row>
    <row r="21" spans="1:5">
      <c r="A21" t="s">
        <v>292</v>
      </c>
      <c r="B21" t="s">
        <v>293</v>
      </c>
      <c r="C21" s="7">
        <v>16000</v>
      </c>
      <c r="D21" s="7">
        <v>16499</v>
      </c>
      <c r="E21" t="s">
        <v>353</v>
      </c>
    </row>
    <row r="22" spans="1:5">
      <c r="A22" t="s">
        <v>285</v>
      </c>
      <c r="B22" t="s">
        <v>286</v>
      </c>
      <c r="C22" s="7">
        <v>18000</v>
      </c>
      <c r="D22" s="7">
        <v>18999</v>
      </c>
      <c r="E22" t="s">
        <v>347</v>
      </c>
    </row>
    <row r="23" spans="1:5">
      <c r="A23" t="s">
        <v>1562</v>
      </c>
      <c r="B23" t="s">
        <v>1563</v>
      </c>
      <c r="C23" s="7">
        <v>19000</v>
      </c>
      <c r="D23" s="7">
        <v>19499</v>
      </c>
      <c r="E23" t="s">
        <v>277</v>
      </c>
    </row>
    <row r="24" spans="1:5">
      <c r="A24" t="s">
        <v>1982</v>
      </c>
      <c r="B24" t="s">
        <v>1983</v>
      </c>
      <c r="C24" s="7">
        <v>19500</v>
      </c>
      <c r="D24" s="7">
        <v>19999</v>
      </c>
      <c r="E24" t="s">
        <v>346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1" t="s">
        <v>348</v>
      </c>
      <c r="B1" s="11" t="s">
        <v>333</v>
      </c>
      <c r="C1" s="11" t="s">
        <v>334</v>
      </c>
      <c r="D1" s="11" t="s">
        <v>335</v>
      </c>
      <c r="E1" s="11" t="s">
        <v>336</v>
      </c>
      <c r="F1" s="11" t="s">
        <v>337</v>
      </c>
      <c r="G1" s="11" t="s">
        <v>338</v>
      </c>
      <c r="H1" s="11" t="s">
        <v>339</v>
      </c>
      <c r="I1" s="11" t="s">
        <v>340</v>
      </c>
      <c r="J1" s="11" t="s">
        <v>341</v>
      </c>
      <c r="K1" s="11" t="s">
        <v>342</v>
      </c>
      <c r="L1" s="11" t="s">
        <v>343</v>
      </c>
      <c r="M1" s="11" t="s">
        <v>344</v>
      </c>
      <c r="N1" s="11" t="s">
        <v>345</v>
      </c>
    </row>
    <row r="2" spans="1:14">
      <c r="A2" s="11" t="s">
        <v>373</v>
      </c>
      <c r="B2" s="12">
        <v>1</v>
      </c>
      <c r="C2" s="12">
        <v>0.1</v>
      </c>
      <c r="D2" s="12">
        <v>0.05</v>
      </c>
      <c r="E2" s="12">
        <v>1</v>
      </c>
      <c r="F2" s="12">
        <v>1</v>
      </c>
      <c r="G2" s="12"/>
      <c r="H2" s="12"/>
      <c r="I2" s="12">
        <v>1</v>
      </c>
      <c r="J2" s="12">
        <v>0.01</v>
      </c>
      <c r="K2" s="12">
        <v>1</v>
      </c>
      <c r="L2" s="12">
        <v>1</v>
      </c>
      <c r="M2" s="12"/>
      <c r="N2" s="12"/>
    </row>
    <row r="3" spans="1:14">
      <c r="A3" s="11" t="s">
        <v>374</v>
      </c>
      <c r="B3" s="12">
        <v>1</v>
      </c>
      <c r="C3" s="12">
        <v>0.1</v>
      </c>
      <c r="D3" s="12">
        <v>0.05</v>
      </c>
      <c r="E3" s="12">
        <v>1</v>
      </c>
      <c r="F3" s="12">
        <v>1</v>
      </c>
      <c r="G3" s="12"/>
      <c r="H3" s="12"/>
      <c r="I3" s="12">
        <v>1</v>
      </c>
      <c r="J3" s="12">
        <v>0.01</v>
      </c>
      <c r="K3" s="12">
        <v>1</v>
      </c>
      <c r="L3" s="12">
        <v>1</v>
      </c>
      <c r="M3" s="12"/>
      <c r="N3" s="12"/>
    </row>
    <row r="4" spans="1:14">
      <c r="A4" s="11" t="s">
        <v>375</v>
      </c>
      <c r="B4" s="12">
        <v>1</v>
      </c>
      <c r="C4" s="12">
        <v>0.1</v>
      </c>
      <c r="D4" s="12">
        <v>0.05</v>
      </c>
      <c r="E4" s="12">
        <v>1</v>
      </c>
      <c r="F4" s="12">
        <v>1</v>
      </c>
      <c r="G4" s="12"/>
      <c r="H4" s="12"/>
      <c r="I4" s="12">
        <v>1</v>
      </c>
      <c r="J4" s="12">
        <v>0.01</v>
      </c>
      <c r="K4" s="12">
        <v>1</v>
      </c>
      <c r="L4" s="12">
        <v>1</v>
      </c>
      <c r="M4" s="12"/>
      <c r="N4" s="12"/>
    </row>
    <row r="5" spans="1:14">
      <c r="A5" s="11" t="s">
        <v>275</v>
      </c>
      <c r="B5" s="12">
        <v>1</v>
      </c>
      <c r="C5" s="12">
        <v>0.1</v>
      </c>
      <c r="D5" s="12">
        <v>0.05</v>
      </c>
      <c r="E5" s="12">
        <v>1</v>
      </c>
      <c r="F5" s="12">
        <v>0.5</v>
      </c>
      <c r="G5" s="12">
        <v>0.5</v>
      </c>
      <c r="H5" s="12">
        <v>1</v>
      </c>
      <c r="I5" s="12">
        <v>1</v>
      </c>
      <c r="J5" s="12">
        <v>0.01</v>
      </c>
      <c r="K5" s="12">
        <v>1</v>
      </c>
      <c r="L5" s="12">
        <v>0.5</v>
      </c>
      <c r="M5" s="12">
        <v>0.5</v>
      </c>
      <c r="N5" s="12">
        <v>1</v>
      </c>
    </row>
    <row r="6" spans="1:14">
      <c r="A6" s="11" t="s">
        <v>277</v>
      </c>
      <c r="B6" s="12">
        <v>1</v>
      </c>
      <c r="C6" s="12">
        <v>0.1</v>
      </c>
      <c r="D6" s="12">
        <v>0.05</v>
      </c>
      <c r="E6" s="12">
        <v>1</v>
      </c>
      <c r="F6" s="12">
        <v>0.5</v>
      </c>
      <c r="G6" s="12">
        <v>0.5</v>
      </c>
      <c r="H6" s="12">
        <v>1</v>
      </c>
      <c r="I6" s="12">
        <v>1</v>
      </c>
      <c r="J6" s="12">
        <v>0.01</v>
      </c>
      <c r="K6" s="12">
        <v>1</v>
      </c>
      <c r="L6" s="12">
        <v>0.5</v>
      </c>
      <c r="M6" s="12">
        <v>0.5</v>
      </c>
      <c r="N6" s="12">
        <v>1</v>
      </c>
    </row>
    <row r="7" spans="1:14">
      <c r="A7" s="11" t="s">
        <v>25</v>
      </c>
      <c r="B7" s="12">
        <v>1</v>
      </c>
      <c r="C7" s="12">
        <v>0.1</v>
      </c>
      <c r="D7" s="12">
        <v>0.05</v>
      </c>
      <c r="E7" s="12">
        <v>1</v>
      </c>
      <c r="F7" s="12">
        <v>0.5</v>
      </c>
      <c r="G7" s="12">
        <v>0.5</v>
      </c>
      <c r="H7" s="12">
        <v>1</v>
      </c>
      <c r="I7" s="12">
        <v>1</v>
      </c>
      <c r="J7" s="12">
        <v>0.01</v>
      </c>
      <c r="K7" s="12">
        <v>1</v>
      </c>
      <c r="L7" s="12">
        <v>0.5</v>
      </c>
      <c r="M7" s="12">
        <v>0.5</v>
      </c>
      <c r="N7" s="12">
        <v>1</v>
      </c>
    </row>
    <row r="8" spans="1:14">
      <c r="A8" s="11" t="s">
        <v>1890</v>
      </c>
      <c r="B8" s="12">
        <v>1</v>
      </c>
      <c r="C8" s="12">
        <v>0.1</v>
      </c>
      <c r="D8" s="12">
        <v>0.05</v>
      </c>
      <c r="E8" s="12">
        <v>1</v>
      </c>
      <c r="F8" s="12">
        <v>0.5</v>
      </c>
      <c r="G8" s="12">
        <v>0.5</v>
      </c>
      <c r="H8" s="12">
        <v>1</v>
      </c>
      <c r="I8" s="12">
        <v>1</v>
      </c>
      <c r="J8" s="12">
        <v>0.01</v>
      </c>
      <c r="K8" s="12">
        <v>1</v>
      </c>
      <c r="L8" s="12">
        <v>0.5</v>
      </c>
      <c r="M8" s="12">
        <v>0.5</v>
      </c>
      <c r="N8" s="12">
        <v>1</v>
      </c>
    </row>
    <row r="9" spans="1:14">
      <c r="A9" s="11" t="s">
        <v>346</v>
      </c>
      <c r="B9" s="12">
        <v>0.5</v>
      </c>
      <c r="C9" s="12">
        <v>0.1</v>
      </c>
      <c r="D9" s="12">
        <v>0.05</v>
      </c>
      <c r="E9" s="12"/>
      <c r="F9" s="12">
        <v>1</v>
      </c>
      <c r="G9" s="12"/>
      <c r="H9" s="12"/>
      <c r="I9" s="12">
        <v>0.5</v>
      </c>
      <c r="J9" s="12">
        <v>0.01</v>
      </c>
      <c r="K9" s="12"/>
      <c r="L9" s="12"/>
      <c r="M9" s="12"/>
      <c r="N9" s="12"/>
    </row>
    <row r="10" spans="1:14">
      <c r="A10" s="11" t="s">
        <v>347</v>
      </c>
      <c r="B10" s="12">
        <v>0.5</v>
      </c>
      <c r="C10" s="12">
        <v>0.1</v>
      </c>
      <c r="D10" s="12">
        <v>0.05</v>
      </c>
      <c r="E10" s="12"/>
      <c r="F10" s="12">
        <v>1</v>
      </c>
      <c r="G10" s="12"/>
      <c r="H10" s="12"/>
      <c r="I10" s="12">
        <v>0.5</v>
      </c>
      <c r="J10" s="12">
        <v>0.01</v>
      </c>
      <c r="K10" s="12"/>
      <c r="L10" s="12"/>
      <c r="M10" s="12"/>
      <c r="N10" s="12"/>
    </row>
    <row r="11" spans="1:14">
      <c r="A11" s="11" t="s">
        <v>349</v>
      </c>
      <c r="B11" s="12">
        <v>1</v>
      </c>
      <c r="C11" s="12">
        <v>0.1</v>
      </c>
      <c r="D11" s="12">
        <v>0.05</v>
      </c>
      <c r="E11" s="12">
        <v>1</v>
      </c>
      <c r="F11" s="12">
        <v>0.5</v>
      </c>
      <c r="G11" s="12"/>
      <c r="H11" s="12"/>
      <c r="I11" s="12">
        <v>1</v>
      </c>
      <c r="J11" s="12">
        <v>0.01</v>
      </c>
      <c r="K11" s="12">
        <v>1</v>
      </c>
      <c r="L11" s="12">
        <v>0.5</v>
      </c>
      <c r="M11" s="12"/>
      <c r="N11" s="12"/>
    </row>
    <row r="12" spans="1:14">
      <c r="A12" s="11" t="s">
        <v>350</v>
      </c>
      <c r="B12" s="12">
        <v>1</v>
      </c>
      <c r="C12" s="12">
        <v>0.1</v>
      </c>
      <c r="D12" s="12">
        <v>0.05</v>
      </c>
      <c r="E12" s="12">
        <v>1</v>
      </c>
      <c r="F12" s="12">
        <v>0.5</v>
      </c>
      <c r="G12" s="12"/>
      <c r="H12" s="12"/>
      <c r="I12" s="12">
        <v>1</v>
      </c>
      <c r="J12" s="12">
        <v>0.01</v>
      </c>
      <c r="K12" s="12">
        <v>1</v>
      </c>
      <c r="L12" s="12">
        <v>0.5</v>
      </c>
      <c r="M12" s="12"/>
      <c r="N12" s="12"/>
    </row>
    <row r="13" spans="1:14">
      <c r="A13" s="11" t="s">
        <v>351</v>
      </c>
      <c r="B13" s="12">
        <v>1</v>
      </c>
      <c r="C13" s="12">
        <v>0.1</v>
      </c>
      <c r="D13" s="12">
        <v>0.05</v>
      </c>
      <c r="E13" s="12">
        <v>1</v>
      </c>
      <c r="F13" s="12">
        <v>0.5</v>
      </c>
      <c r="G13" s="12"/>
      <c r="H13" s="12"/>
      <c r="I13" s="12">
        <v>1</v>
      </c>
      <c r="J13" s="12">
        <v>0.01</v>
      </c>
      <c r="K13" s="12">
        <v>1</v>
      </c>
      <c r="L13" s="12">
        <v>0.5</v>
      </c>
      <c r="M13" s="12"/>
      <c r="N13" s="12"/>
    </row>
    <row r="14" spans="1:14">
      <c r="A14" s="11" t="s">
        <v>352</v>
      </c>
      <c r="B14" s="12">
        <v>1</v>
      </c>
      <c r="C14" s="12">
        <v>0.1</v>
      </c>
      <c r="D14" s="12">
        <v>0.05</v>
      </c>
      <c r="E14" s="12">
        <v>1</v>
      </c>
      <c r="F14" s="12">
        <v>0.5</v>
      </c>
      <c r="G14" s="12"/>
      <c r="H14" s="12"/>
      <c r="I14" s="12">
        <v>1</v>
      </c>
      <c r="J14" s="12">
        <v>0.01</v>
      </c>
      <c r="K14" s="12">
        <v>1</v>
      </c>
      <c r="L14" s="12">
        <v>0.5</v>
      </c>
      <c r="M14" s="12"/>
      <c r="N14" s="12"/>
    </row>
    <row r="15" spans="1:14">
      <c r="A15" s="11" t="s">
        <v>353</v>
      </c>
      <c r="B15" s="12">
        <v>1</v>
      </c>
      <c r="C15" s="12">
        <v>0.1</v>
      </c>
      <c r="D15" s="12">
        <v>0.05</v>
      </c>
      <c r="E15" s="12">
        <v>1</v>
      </c>
      <c r="F15" s="12">
        <v>0.5</v>
      </c>
      <c r="G15" s="12"/>
      <c r="H15" s="12"/>
      <c r="I15" s="12">
        <v>1</v>
      </c>
      <c r="J15" s="12">
        <v>0.01</v>
      </c>
      <c r="K15" s="12">
        <v>1</v>
      </c>
      <c r="L15" s="12">
        <v>0.5</v>
      </c>
      <c r="M15" s="12"/>
      <c r="N15" s="12"/>
    </row>
    <row r="16" spans="1:14">
      <c r="A16" s="11" t="s">
        <v>1758</v>
      </c>
      <c r="B16" s="12">
        <v>1</v>
      </c>
      <c r="C16" s="12">
        <v>0.1</v>
      </c>
      <c r="D16" s="12">
        <v>0.05</v>
      </c>
      <c r="E16" s="12">
        <v>1</v>
      </c>
      <c r="F16" s="12">
        <v>0.5</v>
      </c>
      <c r="G16" s="12"/>
      <c r="H16" s="12"/>
      <c r="I16" s="12">
        <v>1</v>
      </c>
      <c r="J16" s="12">
        <v>0.01</v>
      </c>
      <c r="K16" s="12">
        <v>1</v>
      </c>
      <c r="L16" s="12">
        <v>1</v>
      </c>
      <c r="M16" s="12"/>
      <c r="N16" s="12"/>
    </row>
    <row r="23" spans="1:1">
      <c r="A23" s="15" t="s">
        <v>354</v>
      </c>
    </row>
    <row r="25" spans="1:1">
      <c r="A25" s="15" t="s">
        <v>355</v>
      </c>
    </row>
    <row r="27" spans="1:1">
      <c r="A27" s="15" t="s">
        <v>356</v>
      </c>
    </row>
    <row r="29" spans="1:1">
      <c r="A29" s="15" t="s">
        <v>357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358</v>
      </c>
      <c r="B1" t="s">
        <v>11</v>
      </c>
      <c r="C1" t="s">
        <v>359</v>
      </c>
    </row>
    <row r="2" spans="1:3">
      <c r="A2" t="s">
        <v>370</v>
      </c>
      <c r="B2">
        <v>20</v>
      </c>
      <c r="C2" t="s">
        <v>364</v>
      </c>
    </row>
    <row r="3" spans="1:3">
      <c r="A3" t="s">
        <v>368</v>
      </c>
      <c r="B3">
        <v>40</v>
      </c>
      <c r="C3" t="s">
        <v>362</v>
      </c>
    </row>
    <row r="4" spans="1:3">
      <c r="A4" t="s">
        <v>367</v>
      </c>
      <c r="B4">
        <v>16</v>
      </c>
      <c r="C4" t="s">
        <v>361</v>
      </c>
    </row>
    <row r="5" spans="1:3">
      <c r="A5" t="s">
        <v>371</v>
      </c>
      <c r="B5">
        <v>15</v>
      </c>
      <c r="C5" t="s">
        <v>365</v>
      </c>
    </row>
    <row r="6" spans="1:3">
      <c r="A6" t="s">
        <v>369</v>
      </c>
      <c r="B6">
        <v>120</v>
      </c>
      <c r="C6" t="s">
        <v>363</v>
      </c>
    </row>
    <row r="7" spans="1:3">
      <c r="A7" t="s">
        <v>366</v>
      </c>
      <c r="B7">
        <v>0</v>
      </c>
      <c r="C7" t="s">
        <v>360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2026-08-18T20:09:22Z</dcterms:modified>
</cp:coreProperties>
</file>